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ltI98ki9Uj0FNN67GrA/owNGsOVHYNZMUvWlOLHbm9QzCftkqdtfQts2mCZS3SJGjKnZW+KUJuyTMbAH13+Lmw==" workbookSaltValue="wKzgNnNE1jadBjDQcxR6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8" i="2"/>
  <c r="N18" i="2"/>
  <c r="T13" i="12"/>
  <c r="V11" i="11"/>
  <c r="BM12" i="11"/>
  <c r="BI15" i="11"/>
  <c r="BJ12" i="11"/>
  <c r="BG15" i="11"/>
  <c r="BK17" i="11"/>
  <c r="AP17" i="20"/>
  <c r="BU11" i="17"/>
  <c r="BU10" i="17"/>
  <c r="BW12" i="20"/>
  <c r="BW11" i="20"/>
  <c r="BW10" i="20"/>
  <c r="BU16" i="17"/>
  <c r="T13" i="16"/>
  <c r="AZ12" i="11"/>
  <c r="BG12" i="11"/>
  <c r="BH10" i="11"/>
  <c r="BI9" i="11"/>
  <c r="AQ10" i="21"/>
  <c r="S10" i="17"/>
  <c r="BH10" i="16"/>
  <c r="Q15" i="17"/>
  <c r="BM17" i="11"/>
  <c r="BF15" i="11"/>
  <c r="BH16" i="11"/>
  <c r="AQ12" i="21"/>
  <c r="BJ16" i="11"/>
  <c r="BL16" i="11"/>
  <c r="T13" i="20"/>
  <c r="BF15" i="8"/>
  <c r="BF9" i="8"/>
  <c r="L10" i="2"/>
  <c r="AU18" i="21"/>
  <c r="AH13" i="16"/>
  <c r="L16" i="2"/>
  <c r="X10" i="21"/>
  <c r="U9" i="17"/>
  <c r="U19" i="17" s="1"/>
  <c r="AP13" i="16"/>
  <c r="V9" i="16"/>
  <c r="T18" i="17"/>
  <c r="BG15" i="13"/>
  <c r="BE16" i="13"/>
  <c r="BE15" i="13"/>
  <c r="AX20" i="20"/>
  <c r="S19" i="8" l="1"/>
  <c r="H10" i="2"/>
  <c r="BG10" i="8"/>
  <c r="M13" i="2"/>
  <c r="N13" i="2"/>
  <c r="AL16" i="11"/>
  <c r="C16" i="6"/>
  <c r="BE9" i="13"/>
  <c r="V10" i="16"/>
  <c r="X15" i="16"/>
  <c r="X18" i="16" s="1"/>
  <c r="L17" i="2"/>
  <c r="L12" i="2"/>
  <c r="S16" i="17"/>
  <c r="S15" i="17"/>
  <c r="BK10" i="11"/>
  <c r="BH12" i="16"/>
  <c r="BM9" i="11"/>
  <c r="S17" i="17"/>
  <c r="BG16" i="11"/>
  <c r="BH11" i="11"/>
  <c r="BK16" i="11"/>
  <c r="BJ10" i="11"/>
  <c r="BL10" i="11"/>
  <c r="BL15" i="11"/>
  <c r="BF12"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Q9" i="11" s="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<sst xmlns="http://schemas.openxmlformats.org/spreadsheetml/2006/main" count="2088" uniqueCount="910">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</sst>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903</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904</v>
      </c>
      <c r="B9" s="375" t="s">
        <v>905</v>
      </c>
      <c r="C9" s="372"/>
      <c r="D9" s="372"/>
      <c r="E9" s="381"/>
      <c r="F9" s="3"/>
    </row>
    <row r="10" spans="1:19">
      <c r="A10" s="380" t="s">
        <v>906</v>
      </c>
      <c r="B10" s="372" t="s">
        <v>907</v>
      </c>
      <c r="C10" s="372"/>
      <c r="D10" s="372"/>
      <c r="E10" s="381"/>
      <c r="F10" s="3"/>
      <c r="Q10" s="346">
        <v>0</v>
      </c>
    </row>
    <row r="11" spans="1:19" ht="13.5" thickBot="1">
      <c r="A11" s="382" t="s">
        <v>908</v>
      </c>
      <c r="B11" s="383" t="s">
        <v>909</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H5tU7yhbqFi98rOClXx45zliz7laUuXbvcVHvoRPeTJSL5VNILo1af9uR8sPVKKLw5fEK60mDFmmYFhdVc/w==" saltValue="ZMq6XNtpramUIF6J7Xy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30.007941760423559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107</v>
      </c>
      <c r="D10" s="225">
        <f>IF(ISNUMBER(Datos!I10),Datos!I10," - ")</f>
        <v>107</v>
      </c>
      <c r="E10" s="226">
        <f>IF(ISNUMBER(Datos!J10),Datos!J10," - ")</f>
        <v>24</v>
      </c>
      <c r="F10" s="226">
        <f>IF(ISNUMBER(Datos!K10),Datos!K10," - ")</f>
        <v>19</v>
      </c>
      <c r="G10" s="1034" t="str">
        <f>IF(Datos!E10&lt;&gt;"",Datos!E10,Datos!D10)</f>
        <v>37</v>
      </c>
      <c r="H10" s="227">
        <f>IF(ISNUMBER(Datos!L10),Datos!L10," - ")</f>
        <v>112</v>
      </c>
      <c r="I10" s="1044" t="str">
        <f>IF(ISNUMBER(Datos!AS10/Datos!BM10),Datos!AS10/Datos!BM10," - ")</f>
        <v xml:space="preserve"> - </v>
      </c>
      <c r="J10" s="1045">
        <f>IF(ISNUMBER(Datos!BY10/Datos!CN10),Datos!BY10/Datos!CN10," - ")</f>
        <v>0</v>
      </c>
      <c r="K10" s="230">
        <f t="shared" ref="K10:K12" si="1">IF(ISNUMBER((E10-F10)/C10),(E10-F10)/C10," - ")</f>
        <v>4.6728971962616821E-2</v>
      </c>
      <c r="L10" s="1025">
        <f>IF(ISNUMBER(NºAsuntos!I10/NºAsuntos!G10),(NºAsuntos!I10/NºAsuntos!G10)*11," - ")</f>
        <v>64.84210526315789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107</v>
      </c>
      <c r="D13" s="1049">
        <f>SUBTOTAL(9,D9:D12)</f>
        <v>107</v>
      </c>
      <c r="E13" s="1050">
        <f>SUBTOTAL(9,E9:E12)</f>
        <v>24</v>
      </c>
      <c r="F13" s="1051">
        <f>SUBTOTAL(9,F9:F12)</f>
        <v>19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1709</v>
      </c>
      <c r="D15" s="225">
        <f>IF(ISNUMBER(IF(D_I="SI",Datos!I15,Datos!I15+Datos!AC15)),IF(D_I="SI",Datos!I15,Datos!I15+Datos!AC15)," - ")</f>
        <v>1635</v>
      </c>
      <c r="E15" s="226">
        <f>IF(ISNUMBER(IF(D_I="SI",Datos!J15,Datos!J15+Datos!AD15)),IF(D_I="SI",Datos!J15,Datos!J15+Datos!AD15)," - ")</f>
        <v>2634</v>
      </c>
      <c r="F15" s="226">
        <f>IF(ISNUMBER(IF(D_I="SI",Datos!K15,Datos!K15+Datos!AE15)),IF(D_I="SI",Datos!K15,Datos!K15+Datos!AE15)," - ")</f>
        <v>2669</v>
      </c>
      <c r="G15" s="1034" t="str">
        <f>IF(Datos!E15&lt;&gt;"",Datos!E15,Datos!D15)</f>
        <v>03</v>
      </c>
      <c r="H15" s="227">
        <f>IF(ISNUMBER(IF(D_I="SI",Datos!L15,Datos!L15+Datos!AF15)),IF(D_I="SI",Datos!L15,Datos!L15+Datos!AF15)," - ")</f>
        <v>1674</v>
      </c>
      <c r="I15" s="1044" t="str">
        <f>IF(ISNUMBER(Datos!AS15/Datos!BM15),Datos!AS15/Datos!BM15," - ")</f>
        <v xml:space="preserve"> - </v>
      </c>
      <c r="J15" s="1045">
        <f>IF(ISNUMBER(Datos!BY15/Datos!CN15),Datos!BY15/Datos!CN15," - ")</f>
        <v>0</v>
      </c>
      <c r="K15" s="230">
        <f t="shared" ref="K15:K17" si="3">IF(ISNUMBER((E15-F15)/C15),(E15-F15)/C15," - ")</f>
        <v>-2.047981275599766E-2</v>
      </c>
      <c r="L15" s="1025">
        <f>IF(ISNUMBER(NºAsuntos!I15/NºAsuntos!G15),(NºAsuntos!I15/NºAsuntos!G15)*11," - ")</f>
        <v>6.8992131884600978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5</v>
      </c>
      <c r="D16" s="225">
        <f>IF(ISNUMBER(IF(D_I="SI",Datos!I16,Datos!I16+Datos!AC16)),IF(D_I="SI",Datos!I16,Datos!I16+Datos!AC16)," - ")</f>
        <v>3</v>
      </c>
      <c r="E16" s="226">
        <f>IF(ISNUMBER(IF(D_I="SI",Datos!J16,Datos!J16+Datos!AD16)),IF(D_I="SI",Datos!J16,Datos!J16+Datos!AD16)," - ")</f>
        <v>0</v>
      </c>
      <c r="F16" s="226">
        <f>IF(ISNUMBER(IF(D_I="SI",Datos!K16,Datos!K16+Datos!AE16)),IF(D_I="SI",Datos!K16,Datos!K16+Datos!AE16)," - ")</f>
        <v>5</v>
      </c>
      <c r="G16" s="1034" t="str">
        <f>IF(Datos!E16&lt;&gt;"",Datos!E16,Datos!D16)</f>
        <v>04</v>
      </c>
      <c r="H16" s="227">
        <f>IF(ISNUMBER(IF(D_I="SI",Datos!L16,Datos!L16+Datos!AF16)),IF(D_I="SI",Datos!L16,Datos!L16+Datos!AF16)," - ")</f>
        <v>0</v>
      </c>
      <c r="I16" s="1044" t="str">
        <f>IF(ISNUMBER(Datos!AS16/Datos!BM16),Datos!AS16/Datos!BM16," - ")</f>
        <v xml:space="preserve"> - </v>
      </c>
      <c r="J16" s="1045">
        <f>IF(ISNUMBER(Datos!BY16/Datos!CN16),Datos!BY16/Datos!CN16," - ")</f>
        <v>0</v>
      </c>
      <c r="K16" s="230">
        <f t="shared" si="3"/>
        <v>-1</v>
      </c>
      <c r="L16" s="1025">
        <f>IF(ISNUMBER(NºAsuntos!I16/NºAsuntos!G16),(NºAsuntos!I16/NºAsuntos!G16)*11," - ")</f>
        <v>0</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147</v>
      </c>
      <c r="D17" s="225">
        <f>IF(ISNUMBER(IF(D_I="SI",Datos!I17,Datos!I17+Datos!AC17)),IF(D_I="SI",Datos!I17,Datos!I17+Datos!AC17)," - ")</f>
        <v>147</v>
      </c>
      <c r="E17" s="226">
        <f>IF(ISNUMBER(IF(D_I="SI",Datos!J17,Datos!J17+Datos!AD17)),IF(D_I="SI",Datos!J17,Datos!J17+Datos!AD17)," - ")</f>
        <v>246</v>
      </c>
      <c r="F17" s="226">
        <f>IF(ISNUMBER(IF(D_I="SI",Datos!K17,Datos!K17+Datos!AE17)),IF(D_I="SI",Datos!K17,Datos!K17+Datos!AE17)," - ")</f>
        <v>255</v>
      </c>
      <c r="G17" s="1034" t="str">
        <f>IF(Datos!E17&lt;&gt;"",Datos!E17,Datos!D17)</f>
        <v>37</v>
      </c>
      <c r="H17" s="227">
        <f>IF(ISNUMBER(IF(D_I="SI",Datos!L17,Datos!L17+Datos!AF17)),IF(D_I="SI",Datos!L17,Datos!L17+Datos!AF17)," - ")</f>
        <v>138</v>
      </c>
      <c r="I17" s="1044" t="str">
        <f>IF(ISNUMBER(Datos!AS17/Datos!BM17),Datos!AS17/Datos!BM17," - ")</f>
        <v xml:space="preserve"> - </v>
      </c>
      <c r="J17" s="1045" t="str">
        <f>IF(ISNUMBER((Datos!BY17+Datos!BZ17)/Datos!CN17),(Datos!BY17+Datos!BZ17)/Datos!CN17," - ")</f>
        <v xml:space="preserve"> - </v>
      </c>
      <c r="K17" s="230">
        <f t="shared" si="3"/>
        <v>-6.1224489795918366E-2</v>
      </c>
      <c r="L17" s="1025">
        <f>IF(ISNUMBER(NºAsuntos!I17/NºAsuntos!G17),(NºAsuntos!I17/NºAsuntos!G17)*11," - ")</f>
        <v>5.9529411764705875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1861</v>
      </c>
      <c r="D18" s="1049">
        <f>SUBTOTAL(9,D15:D17)</f>
        <v>1785</v>
      </c>
      <c r="E18" s="1050">
        <f>SUBTOTAL(9,E15:E17)</f>
        <v>2880</v>
      </c>
      <c r="F18" s="1050">
        <f>SUBTOTAL(9,F15:F17)</f>
        <v>2929</v>
      </c>
      <c r="G18" s="1052" t="str">
        <f ca="1">INDIRECT(CONCATENATE("G",ROW()-1))</f>
        <v>37</v>
      </c>
      <c r="H18" s="1053">
        <f ca="1">SUMIF(G$14:G17,G18,H$14:H17)</f>
        <v>138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1968</v>
      </c>
      <c r="D19" s="1071">
        <f>SUBTOTAL(9,D9:D18)</f>
        <v>1892</v>
      </c>
      <c r="E19" s="1072">
        <f>SUBTOTAL(9,E9:E18)</f>
        <v>2904</v>
      </c>
      <c r="F19" s="1072">
        <f>SUBTOTAL(9,F9:F18)</f>
        <v>2948</v>
      </c>
      <c r="G19" s="1073"/>
      <c r="H19" s="1074">
        <f ca="1">SUMIF(B9:B18,"TOTAL",H9:H18)</f>
        <v>138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627</v>
      </c>
      <c r="O25" s="1355"/>
      <c r="P25" s="1355"/>
      <c r="Q25" s="1355"/>
      <c r="R25" s="1355"/>
      <c r="S25" s="1355"/>
      <c r="T25" s="1355"/>
      <c r="U25" s="1355"/>
      <c r="V25" s="1355"/>
      <c r="W25" s="1355"/>
      <c r="Y25" s="1355" t="s">
        <v>628</v>
      </c>
      <c r="Z25" s="1355"/>
      <c r="AA25" s="1355"/>
      <c r="AB25" s="1355"/>
      <c r="AC25" s="1355"/>
      <c r="AD25" s="1355"/>
    </row>
    <row r="27" spans="1:78">
      <c r="N27" s="1031" t="s">
        <v>629</v>
      </c>
      <c r="O27" s="1356" t="s">
        <v>630</v>
      </c>
      <c r="P27" s="1356"/>
      <c r="Q27" s="1356"/>
      <c r="R27" s="1356"/>
      <c r="S27" s="1356"/>
      <c r="T27" s="1356"/>
      <c r="U27" s="1356"/>
      <c r="V27" s="1356"/>
      <c r="W27" s="1356"/>
      <c r="Y27" s="1031" t="s">
        <v>629</v>
      </c>
      <c r="Z27" s="1357" t="s">
        <v>631</v>
      </c>
      <c r="AA27" s="1357"/>
      <c r="AB27" s="1357"/>
      <c r="AC27" s="1357"/>
      <c r="AD27" s="1357"/>
    </row>
    <row r="28" spans="1:78">
      <c r="N28" s="1031" t="s">
        <v>632</v>
      </c>
      <c r="O28" s="1356" t="s">
        <v>633</v>
      </c>
      <c r="P28" s="1356"/>
      <c r="Q28" s="1356"/>
      <c r="R28" s="1356"/>
      <c r="S28" s="1356"/>
      <c r="T28" s="1356"/>
      <c r="U28" s="1356"/>
      <c r="V28" s="1356"/>
      <c r="W28" s="1356"/>
      <c r="Y28" s="1031" t="s">
        <v>632</v>
      </c>
      <c r="Z28" s="1357" t="s">
        <v>634</v>
      </c>
      <c r="AA28" s="1357"/>
      <c r="AB28" s="1357"/>
      <c r="AC28" s="1357"/>
      <c r="AD28" s="1357"/>
    </row>
    <row r="29" spans="1:78">
      <c r="N29" s="1031" t="s">
        <v>635</v>
      </c>
      <c r="O29" s="1356" t="s">
        <v>636</v>
      </c>
      <c r="P29" s="1356"/>
      <c r="Q29" s="1356"/>
      <c r="R29" s="1356"/>
      <c r="S29" s="1356"/>
      <c r="T29" s="1356"/>
      <c r="U29" s="1356"/>
      <c r="V29" s="1356"/>
      <c r="W29" s="1356"/>
      <c r="Y29" s="1031" t="s">
        <v>637</v>
      </c>
      <c r="Z29" s="1357" t="s">
        <v>872</v>
      </c>
      <c r="AA29" s="1357"/>
      <c r="AB29" s="1357"/>
      <c r="AC29" s="1357"/>
      <c r="AD29" s="1357"/>
    </row>
    <row r="30" spans="1:78">
      <c r="N30" s="1031" t="s">
        <v>638</v>
      </c>
      <c r="O30" s="1356" t="s">
        <v>639</v>
      </c>
      <c r="P30" s="1356"/>
      <c r="Q30" s="1356"/>
      <c r="R30" s="1356"/>
      <c r="S30" s="1356"/>
      <c r="T30" s="1356"/>
      <c r="U30" s="1356"/>
      <c r="V30" s="1356"/>
      <c r="W30" s="1356"/>
      <c r="Y30" s="1031" t="s">
        <v>640</v>
      </c>
      <c r="Z30" s="1357" t="s">
        <v>873</v>
      </c>
      <c r="AA30" s="1357"/>
      <c r="AB30" s="1357"/>
      <c r="AC30" s="1357"/>
      <c r="AD30" s="1357"/>
    </row>
    <row r="31" spans="1:78">
      <c r="N31" s="1031" t="s">
        <v>723</v>
      </c>
      <c r="O31" s="1356" t="s">
        <v>724</v>
      </c>
      <c r="P31" s="1356"/>
      <c r="Q31" s="1356"/>
      <c r="R31" s="1356"/>
      <c r="S31" s="1356"/>
      <c r="T31" s="1356"/>
      <c r="U31" s="1356"/>
      <c r="V31" s="1356"/>
      <c r="W31" s="1356"/>
      <c r="Y31" s="1031" t="s">
        <v>635</v>
      </c>
      <c r="Z31" s="1357" t="s">
        <v>636</v>
      </c>
      <c r="AA31" s="1357"/>
      <c r="AB31" s="1357"/>
      <c r="AC31" s="1357"/>
      <c r="AD31" s="1357"/>
    </row>
    <row r="32" spans="1:78">
      <c r="N32" s="1031" t="s">
        <v>641</v>
      </c>
      <c r="O32" s="1356" t="s">
        <v>642</v>
      </c>
      <c r="P32" s="1356"/>
      <c r="Q32" s="1356"/>
      <c r="R32" s="1356"/>
      <c r="S32" s="1356"/>
      <c r="T32" s="1356"/>
      <c r="U32" s="1356"/>
      <c r="V32" s="1356"/>
      <c r="W32" s="1356"/>
      <c r="Y32" s="1031" t="s">
        <v>638</v>
      </c>
      <c r="Z32" s="1357" t="s">
        <v>639</v>
      </c>
      <c r="AA32" s="1357"/>
      <c r="AB32" s="1357"/>
      <c r="AC32" s="1357"/>
      <c r="AD32" s="1357"/>
    </row>
    <row r="33" spans="14:30">
      <c r="N33" s="1031" t="s">
        <v>643</v>
      </c>
      <c r="O33" s="1356" t="s">
        <v>644</v>
      </c>
      <c r="P33" s="1356"/>
      <c r="Q33" s="1356"/>
      <c r="R33" s="1356"/>
      <c r="S33" s="1356"/>
      <c r="T33" s="1356"/>
      <c r="U33" s="1356"/>
      <c r="V33" s="1356"/>
      <c r="W33" s="1356"/>
      <c r="Y33" s="1031" t="s">
        <v>723</v>
      </c>
      <c r="Z33" s="1357" t="s">
        <v>902</v>
      </c>
      <c r="AA33" s="1357"/>
      <c r="AB33" s="1357"/>
      <c r="AC33" s="1357"/>
      <c r="AD33" s="1357"/>
    </row>
    <row r="34" spans="14:30">
      <c r="N34" s="1031" t="s">
        <v>637</v>
      </c>
      <c r="O34" s="1356" t="s">
        <v>870</v>
      </c>
      <c r="P34" s="1356"/>
      <c r="Q34" s="1356"/>
      <c r="R34" s="1356"/>
      <c r="S34" s="1356"/>
      <c r="T34" s="1356"/>
      <c r="U34" s="1356"/>
      <c r="V34" s="1356"/>
      <c r="W34" s="1356"/>
      <c r="Y34" s="1031" t="s">
        <v>645</v>
      </c>
      <c r="Z34" s="1357" t="s">
        <v>646</v>
      </c>
      <c r="AA34" s="1357"/>
      <c r="AB34" s="1357"/>
      <c r="AC34" s="1357"/>
      <c r="AD34" s="1357"/>
    </row>
    <row r="35" spans="14:30">
      <c r="N35" s="1031" t="s">
        <v>640</v>
      </c>
      <c r="O35" s="1356" t="s">
        <v>871</v>
      </c>
      <c r="P35" s="1356"/>
      <c r="Q35" s="1356"/>
      <c r="R35" s="1356"/>
      <c r="S35" s="1356"/>
      <c r="T35" s="1356"/>
      <c r="U35" s="1356"/>
      <c r="V35" s="1356"/>
      <c r="W35" s="1356"/>
      <c r="Y35" s="1031" t="s">
        <v>647</v>
      </c>
      <c r="Z35" s="1357" t="s">
        <v>648</v>
      </c>
      <c r="AA35" s="1357"/>
      <c r="AB35" s="1357"/>
      <c r="AC35" s="1357"/>
      <c r="AD35" s="1357"/>
    </row>
    <row r="36" spans="14:30">
      <c r="N36" s="1031" t="s">
        <v>645</v>
      </c>
      <c r="O36" s="1356" t="s">
        <v>649</v>
      </c>
      <c r="P36" s="1356"/>
      <c r="Q36" s="1356"/>
      <c r="R36" s="1356"/>
      <c r="S36" s="1356"/>
      <c r="T36" s="1356"/>
      <c r="U36" s="1356"/>
      <c r="V36" s="1356"/>
      <c r="W36" s="1356"/>
      <c r="Y36" s="1031" t="s">
        <v>650</v>
      </c>
      <c r="Z36" s="1357" t="s">
        <v>651</v>
      </c>
      <c r="AA36" s="1357"/>
      <c r="AB36" s="1357"/>
      <c r="AC36" s="1357"/>
      <c r="AD36" s="1357"/>
    </row>
    <row r="37" spans="14:30">
      <c r="N37" s="1031" t="s">
        <v>652</v>
      </c>
      <c r="O37" s="1356" t="s">
        <v>653</v>
      </c>
      <c r="P37" s="1356"/>
      <c r="Q37" s="1356"/>
      <c r="R37" s="1356"/>
      <c r="S37" s="1356"/>
      <c r="T37" s="1356"/>
      <c r="U37" s="1356"/>
      <c r="V37" s="1356"/>
      <c r="W37" s="1356"/>
      <c r="Y37" s="1031" t="s">
        <v>641</v>
      </c>
      <c r="Z37" s="1357" t="s">
        <v>642</v>
      </c>
      <c r="AA37" s="1357"/>
      <c r="AB37" s="1357"/>
      <c r="AC37" s="1357"/>
      <c r="AD37" s="1357"/>
    </row>
    <row r="38" spans="14:30">
      <c r="N38" s="1031" t="s">
        <v>647</v>
      </c>
      <c r="O38" s="1356" t="s">
        <v>654</v>
      </c>
      <c r="P38" s="1356"/>
      <c r="Q38" s="1356"/>
      <c r="R38" s="1356"/>
      <c r="S38" s="1356"/>
      <c r="T38" s="1356"/>
      <c r="U38" s="1356"/>
      <c r="V38" s="1356"/>
      <c r="W38" s="1356"/>
      <c r="Y38" s="1032" t="s">
        <v>643</v>
      </c>
      <c r="Z38" s="1359" t="s">
        <v>644</v>
      </c>
      <c r="AA38" s="1359"/>
      <c r="AB38" s="1359"/>
      <c r="AC38" s="1359"/>
      <c r="AD38" s="1359"/>
    </row>
    <row r="39" spans="14:30">
      <c r="N39" s="1032" t="s">
        <v>650</v>
      </c>
      <c r="O39" s="1358" t="s">
        <v>655</v>
      </c>
      <c r="P39" s="1358"/>
      <c r="Q39" s="1358"/>
      <c r="R39" s="1358"/>
      <c r="S39" s="1358"/>
      <c r="T39" s="1358"/>
      <c r="U39" s="1358"/>
      <c r="V39" s="1358"/>
      <c r="W39" s="1358"/>
    </row>
  </sheetData>
  <sheetProtection algorithmName="SHA-512" hashValue="M5X7yLX5zkEXwIfKwnC8+am5CnUbM6ssetLFC9M/avzIb4VB9KErgLy/aLEuCr/lSkSfEC6ra8bWdTFWIbBJyw==" saltValue="vqHnJObZN/nbrbRfNZEGf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xG4ytx5VfzlSwkIRysu4O9ERdwyiltjzx1gEAPu4VqbSogCrH0usz9OggHViNdCpiX2UtmLLXkRypcaV69KbA==" saltValue="+6Pw1Wtw7+NDCU1+encd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743</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v>8631</v>
      </c>
      <c r="J9" s="181">
        <v>2431</v>
      </c>
      <c r="K9" s="181">
        <v>2887</v>
      </c>
      <c r="L9" s="181">
        <v>8081</v>
      </c>
      <c r="M9" s="181">
        <v>700</v>
      </c>
      <c r="N9" s="181">
        <v>1227</v>
      </c>
      <c r="O9" s="181">
        <v>1376</v>
      </c>
      <c r="P9" s="181">
        <v>747</v>
      </c>
      <c r="Q9" s="181">
        <v>359</v>
      </c>
      <c r="R9" s="181">
        <v>10279</v>
      </c>
      <c r="S9" s="181">
        <v>8285</v>
      </c>
      <c r="T9" s="181">
        <v>2321</v>
      </c>
      <c r="U9" s="181">
        <v>2391</v>
      </c>
      <c r="V9" s="181">
        <v>8371</v>
      </c>
      <c r="W9" s="181">
        <v>479</v>
      </c>
      <c r="X9" s="188">
        <v>1075</v>
      </c>
      <c r="Y9" s="191">
        <v>157</v>
      </c>
      <c r="Z9" s="181">
        <v>141</v>
      </c>
      <c r="AA9" s="181">
        <v>135</v>
      </c>
      <c r="AB9" s="181">
        <v>163</v>
      </c>
      <c r="AC9" s="181">
        <v>0</v>
      </c>
      <c r="AD9" s="181">
        <v>0</v>
      </c>
      <c r="AE9" s="181">
        <v>0</v>
      </c>
      <c r="AF9" s="188">
        <v>0</v>
      </c>
      <c r="AG9" s="191">
        <v>250</v>
      </c>
      <c r="AH9" s="181">
        <v>114</v>
      </c>
      <c r="AI9" s="181">
        <v>254</v>
      </c>
      <c r="AJ9" s="192">
        <v>142</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8535</v>
      </c>
      <c r="AZ9" s="123">
        <f>IF(ISNUMBER(IF(J_V="SI",T9,T9+AH9)),IF(J_V="SI",T9,T9+AH9)," - ")</f>
        <v>2435</v>
      </c>
      <c r="BA9" s="124">
        <f>IF(ISNUMBER(IF(J_V="SI",U9,U9+AI9)),IF(J_V="SI",U9,U9+AI9)," - ")</f>
        <v>2645</v>
      </c>
      <c r="BB9" s="124">
        <f>IF(ISNUMBER(IF(J_V="SI",V9,V9+AJ9)),IF(J_V="SI",V9,V9+AJ9)," - ")</f>
        <v>8513</v>
      </c>
      <c r="BC9" s="125">
        <f>IF(ISNUMBER(X9),X9," - ")</f>
        <v>1075</v>
      </c>
      <c r="BD9" s="126">
        <f>IF(ISNUMBER(BA9/AZ9),BA9/AZ9," - ")</f>
        <v>1.0862422997946612</v>
      </c>
      <c r="BE9" s="127">
        <f>IF(ISNUMBER(BB9/BA9),BB9/BA9, " - ")</f>
        <v>3.2185255198487712</v>
      </c>
      <c r="BF9" s="127">
        <f>IF(ISNUMBER(BC9/BA9),BC9/BA9, " - ")</f>
        <v>0.40642722117202268</v>
      </c>
      <c r="BG9" s="196">
        <f>IF(ISNUMBER((AY9+AZ9)/BA9),(AY9+AZ9)/BA9," - ")</f>
        <v>4.1474480151228734</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107</v>
      </c>
      <c r="J10" s="181">
        <v>24</v>
      </c>
      <c r="K10" s="181">
        <v>19</v>
      </c>
      <c r="L10" s="181">
        <v>112</v>
      </c>
      <c r="M10" s="181">
        <v>14</v>
      </c>
      <c r="N10" s="181">
        <v>4</v>
      </c>
      <c r="O10" s="181">
        <v>3</v>
      </c>
      <c r="P10" s="181">
        <v>7</v>
      </c>
      <c r="Q10" s="181">
        <v>2</v>
      </c>
      <c r="R10" s="181">
        <v>82</v>
      </c>
      <c r="S10" s="181">
        <v>74</v>
      </c>
      <c r="T10" s="181">
        <v>20</v>
      </c>
      <c r="U10" s="181">
        <v>22</v>
      </c>
      <c r="V10" s="181">
        <v>72</v>
      </c>
      <c r="W10" s="181">
        <v>5</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785</v>
      </c>
      <c r="AT10" s="192"/>
      <c r="AU10" s="200"/>
      <c r="AV10" s="192"/>
      <c r="AW10" s="200"/>
      <c r="AX10" s="192"/>
      <c r="AY10" s="128">
        <f t="shared" ref="AY10:BC10" si="0">IF(ISNUMBER(S10),S10," - ")</f>
        <v>74</v>
      </c>
      <c r="AZ10" s="129">
        <f t="shared" si="0"/>
        <v>20</v>
      </c>
      <c r="BA10" s="129">
        <f t="shared" si="0"/>
        <v>22</v>
      </c>
      <c r="BB10" s="129">
        <f t="shared" si="0"/>
        <v>72</v>
      </c>
      <c r="BC10" s="125">
        <f t="shared" si="0"/>
        <v>5</v>
      </c>
      <c r="BD10" s="126">
        <f>IF(ISNUMBER(BA10/AZ10),BA10/AZ10," - ")</f>
        <v>1.1000000000000001</v>
      </c>
      <c r="BE10" s="127">
        <f>IF(ISNUMBER(BB10/BA10),BB10/BA10, " - ")</f>
        <v>3.2727272727272729</v>
      </c>
      <c r="BF10" s="127">
        <f>IF(ISNUMBER(BC10/BA10),BC10/BA10, " - ")</f>
        <v>0.22727272727272727</v>
      </c>
      <c r="BG10" s="196">
        <f>IF(ISNUMBER((AY10+AZ10)/BA10),(AY10+AZ10)/BA10," - ")</f>
        <v>4.2727272727272725</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841</v>
      </c>
      <c r="L12" s="183" t="s">
        <v>803</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8738</v>
      </c>
      <c r="J13" s="184">
        <f t="shared" si="6"/>
        <v>2455</v>
      </c>
      <c r="K13" s="184">
        <f t="shared" si="6"/>
        <v>2906</v>
      </c>
      <c r="L13" s="184">
        <f t="shared" si="6"/>
        <v>8193</v>
      </c>
      <c r="M13" s="184">
        <f t="shared" si="6"/>
        <v>714</v>
      </c>
      <c r="N13" s="184">
        <f t="shared" si="6"/>
        <v>1231</v>
      </c>
      <c r="O13" s="184">
        <f t="shared" si="6"/>
        <v>1379</v>
      </c>
      <c r="P13" s="184">
        <f t="shared" si="6"/>
        <v>754</v>
      </c>
      <c r="Q13" s="184">
        <f t="shared" si="6"/>
        <v>361</v>
      </c>
      <c r="R13" s="184">
        <f t="shared" si="6"/>
        <v>10361</v>
      </c>
      <c r="S13" s="184">
        <f t="shared" si="6"/>
        <v>8359</v>
      </c>
      <c r="T13" s="184">
        <f t="shared" si="6"/>
        <v>2341</v>
      </c>
      <c r="U13" s="184">
        <f t="shared" si="6"/>
        <v>2413</v>
      </c>
      <c r="V13" s="184">
        <f t="shared" si="6"/>
        <v>8443</v>
      </c>
      <c r="W13" s="184">
        <f t="shared" si="6"/>
        <v>484</v>
      </c>
      <c r="X13" s="184">
        <f t="shared" si="6"/>
        <v>1075</v>
      </c>
      <c r="Y13" s="184">
        <f t="shared" si="6"/>
        <v>157</v>
      </c>
      <c r="Z13" s="184">
        <f t="shared" si="6"/>
        <v>141</v>
      </c>
      <c r="AA13" s="184">
        <f t="shared" si="6"/>
        <v>135</v>
      </c>
      <c r="AB13" s="184">
        <f t="shared" si="6"/>
        <v>163</v>
      </c>
      <c r="AC13" s="184">
        <f t="shared" si="6"/>
        <v>0</v>
      </c>
      <c r="AD13" s="184">
        <f t="shared" si="6"/>
        <v>0</v>
      </c>
      <c r="AE13" s="184">
        <f t="shared" si="6"/>
        <v>0</v>
      </c>
      <c r="AF13" s="184">
        <f>SUBTOTAL(9,AF9:AF12)</f>
        <v>0</v>
      </c>
      <c r="AG13" s="184">
        <f t="shared" ref="AG13:AT13" si="7">SUBTOTAL(9,AG8:AG12)</f>
        <v>250</v>
      </c>
      <c r="AH13" s="184">
        <f t="shared" si="7"/>
        <v>114</v>
      </c>
      <c r="AI13" s="184">
        <f t="shared" si="7"/>
        <v>254</v>
      </c>
      <c r="AJ13" s="184">
        <f t="shared" si="7"/>
        <v>142</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8609</v>
      </c>
      <c r="AZ13" s="184">
        <f>SUBTOTAL(9,AZ8:AZ12)</f>
        <v>2455</v>
      </c>
      <c r="BA13" s="184">
        <f>SUBTOTAL(9,BA8:BA12)</f>
        <v>2667</v>
      </c>
      <c r="BB13" s="184">
        <f>SUBTOTAL(9,BB8:BB12)</f>
        <v>8585</v>
      </c>
      <c r="BC13" s="184">
        <f>SUBTOTAL(9,BC8:BC12)</f>
        <v>1080</v>
      </c>
      <c r="BD13" s="205">
        <f>IF(ISNUMBER(BA13/AZ13),BA13/AZ13," - ")</f>
        <v>1.0863543788187373</v>
      </c>
      <c r="BE13" s="206">
        <f>IF(ISNUMBER(BB13/BA13),BB13/BA13, " - ")</f>
        <v>3.2189726284214473</v>
      </c>
      <c r="BF13" s="206">
        <f>IF(ISNUMBER(BC13/BA13),BC13/BA13, " - ")</f>
        <v>0.4049493813273341</v>
      </c>
      <c r="BG13" s="207">
        <f>IF(ISNUMBER((AY13+AZ13)/BA13),(AY13+AZ13)/BA13," - ")</f>
        <v>4.1484814398200225</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1635</v>
      </c>
      <c r="J15" s="183">
        <v>2634</v>
      </c>
      <c r="K15" s="183">
        <v>2669</v>
      </c>
      <c r="L15" s="183">
        <v>1674</v>
      </c>
      <c r="M15" s="183">
        <v>438</v>
      </c>
      <c r="N15" s="183">
        <v>1650</v>
      </c>
      <c r="O15" s="181">
        <v>19</v>
      </c>
      <c r="P15" s="183">
        <v>110</v>
      </c>
      <c r="Q15" s="183">
        <v>105</v>
      </c>
      <c r="R15" s="183">
        <v>381</v>
      </c>
      <c r="S15" s="183">
        <v>1260</v>
      </c>
      <c r="T15" s="183">
        <v>2265</v>
      </c>
      <c r="U15" s="183">
        <v>2292</v>
      </c>
      <c r="V15" s="183">
        <v>1297</v>
      </c>
      <c r="W15" s="183">
        <v>364</v>
      </c>
      <c r="X15" s="189">
        <v>1321</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4</v>
      </c>
      <c r="AP15" s="155">
        <v>4</v>
      </c>
      <c r="AQ15" s="155">
        <v>4</v>
      </c>
      <c r="AR15" s="155">
        <v>4</v>
      </c>
      <c r="AS15" s="340" t="s">
        <v>519</v>
      </c>
      <c r="AT15" s="203" t="s">
        <v>326</v>
      </c>
      <c r="AU15" s="202"/>
      <c r="AV15" s="203"/>
      <c r="AW15" s="202"/>
      <c r="AX15" s="203"/>
      <c r="AY15" s="128">
        <f t="shared" ref="AY15:BB16" si="9">IF(ISNUMBER(IF(D_I="SI",S15,S15+AK15)),IF(D_I="SI",S15,S15+AK15)," - ")</f>
        <v>1260</v>
      </c>
      <c r="AZ15" s="129">
        <f t="shared" si="9"/>
        <v>2265</v>
      </c>
      <c r="BA15" s="129">
        <f t="shared" si="9"/>
        <v>2292</v>
      </c>
      <c r="BB15" s="129">
        <f t="shared" si="9"/>
        <v>1297</v>
      </c>
      <c r="BC15" s="125">
        <f>IF(ISNUMBER(W15),W15," - ")</f>
        <v>364</v>
      </c>
      <c r="BD15" s="126">
        <f>IF(ISNUMBER(BA15/AZ15),BA15/AZ15," - ")</f>
        <v>1.0119205298013245</v>
      </c>
      <c r="BE15" s="127">
        <f>IF(ISNUMBER(BB15/BA15),BB15/BA15, " - ")</f>
        <v>0.56588132635253052</v>
      </c>
      <c r="BF15" s="127">
        <f>IF(ISNUMBER(BC15/BA15),BC15/BA15, " - ")</f>
        <v>0.15881326352530542</v>
      </c>
      <c r="BG15" s="196">
        <f t="shared" ref="BG15:BG16" si="10">IF(ISNUMBER((AY15+AZ15)/BA15),(AY15+AZ15)/BA15," - ")</f>
        <v>1.537958115183246</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v>
      </c>
      <c r="J16" s="183">
        <v>0</v>
      </c>
      <c r="K16" s="183">
        <v>5</v>
      </c>
      <c r="L16" s="183">
        <v>0</v>
      </c>
      <c r="M16" s="183">
        <v>0</v>
      </c>
      <c r="N16" s="183">
        <v>3</v>
      </c>
      <c r="O16" s="181">
        <v>0</v>
      </c>
      <c r="P16" s="183">
        <v>0</v>
      </c>
      <c r="Q16" s="183">
        <v>3</v>
      </c>
      <c r="R16" s="183">
        <v>1</v>
      </c>
      <c r="S16" s="183">
        <v>11</v>
      </c>
      <c r="T16" s="183">
        <v>0</v>
      </c>
      <c r="U16" s="183">
        <v>4</v>
      </c>
      <c r="V16" s="183">
        <v>10</v>
      </c>
      <c r="W16" s="183">
        <v>0</v>
      </c>
      <c r="X16" s="189">
        <v>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11</v>
      </c>
      <c r="AZ16" s="127">
        <f t="shared" si="9"/>
        <v>0</v>
      </c>
      <c r="BA16" s="127">
        <f t="shared" si="9"/>
        <v>4</v>
      </c>
      <c r="BB16" s="127">
        <f t="shared" si="9"/>
        <v>10</v>
      </c>
      <c r="BC16" s="125">
        <f>IF(ISNUMBER(W16),W16," - ")</f>
        <v>0</v>
      </c>
      <c r="BD16" s="126" t="str">
        <f t="shared" ref="BD16" si="11">IF(ISNUMBER(BA16/AZ16),BA16/AZ16," - ")</f>
        <v xml:space="preserve"> - </v>
      </c>
      <c r="BE16" s="127">
        <f t="shared" ref="BE16" si="12">IF(ISNUMBER(BB16/BA16),BB16/BA16, " - ")</f>
        <v>2.5</v>
      </c>
      <c r="BF16" s="127">
        <f t="shared" ref="BF16" si="13">IF(ISNUMBER(BC16/BA16),BC16/BA16, " - ")</f>
        <v>0</v>
      </c>
      <c r="BG16" s="196">
        <f t="shared" si="10"/>
        <v>2.75</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147</v>
      </c>
      <c r="J17" s="183">
        <v>246</v>
      </c>
      <c r="K17" s="183">
        <v>255</v>
      </c>
      <c r="L17" s="183">
        <v>138</v>
      </c>
      <c r="M17" s="183">
        <v>68</v>
      </c>
      <c r="N17" s="183">
        <v>157</v>
      </c>
      <c r="O17" s="183">
        <v>2</v>
      </c>
      <c r="P17" s="183">
        <v>2</v>
      </c>
      <c r="Q17" s="183">
        <v>2</v>
      </c>
      <c r="R17" s="183">
        <v>46</v>
      </c>
      <c r="S17" s="183">
        <v>110</v>
      </c>
      <c r="T17" s="183">
        <v>241</v>
      </c>
      <c r="U17" s="183">
        <v>209</v>
      </c>
      <c r="V17" s="183">
        <v>142</v>
      </c>
      <c r="W17" s="183">
        <v>80</v>
      </c>
      <c r="X17" s="189">
        <v>89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784</v>
      </c>
      <c r="AT17" s="209"/>
      <c r="AU17" s="200"/>
      <c r="AV17" s="209"/>
      <c r="AW17" s="200"/>
      <c r="AX17" s="209"/>
      <c r="AY17" s="128">
        <f t="shared" ref="AY17:BB17" si="14">IF(ISNUMBER(S17),S17," - ")</f>
        <v>110</v>
      </c>
      <c r="AZ17" s="129">
        <f t="shared" si="14"/>
        <v>241</v>
      </c>
      <c r="BA17" s="129">
        <f t="shared" si="14"/>
        <v>209</v>
      </c>
      <c r="BB17" s="129">
        <f t="shared" si="14"/>
        <v>142</v>
      </c>
      <c r="BC17" s="125">
        <f>IF(ISNUMBER(W17),W17," - ")</f>
        <v>80</v>
      </c>
      <c r="BD17" s="126">
        <f>IF(ISNUMBER(BA17/AZ17),BA17/AZ17," - ")</f>
        <v>0.86721991701244816</v>
      </c>
      <c r="BE17" s="127">
        <f>IF(ISNUMBER(BB17/BA17),BB17/BA17, " - ")</f>
        <v>0.67942583732057416</v>
      </c>
      <c r="BF17" s="127">
        <f>IF(ISNUMBER(BC17/BA17),BC17/BA17, " - ")</f>
        <v>0.38277511961722488</v>
      </c>
      <c r="BG17" s="196">
        <f>IF(ISNUMBER((AY17+AZ17)/BA17),(AY17+AZ17)/BA17," - ")</f>
        <v>1.6794258373205742</v>
      </c>
      <c r="BH17" s="155">
        <v>2</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1785</v>
      </c>
      <c r="J18" s="184">
        <f t="shared" si="15"/>
        <v>2880</v>
      </c>
      <c r="K18" s="184">
        <f t="shared" si="15"/>
        <v>2929</v>
      </c>
      <c r="L18" s="184">
        <f t="shared" si="15"/>
        <v>1812</v>
      </c>
      <c r="M18" s="184">
        <f t="shared" si="15"/>
        <v>506</v>
      </c>
      <c r="N18" s="184">
        <f t="shared" si="15"/>
        <v>1810</v>
      </c>
      <c r="O18" s="184">
        <f t="shared" si="15"/>
        <v>21</v>
      </c>
      <c r="P18" s="184">
        <f t="shared" si="15"/>
        <v>112</v>
      </c>
      <c r="Q18" s="184">
        <f t="shared" si="15"/>
        <v>110</v>
      </c>
      <c r="R18" s="184">
        <f t="shared" si="15"/>
        <v>428</v>
      </c>
      <c r="S18" s="184">
        <f t="shared" si="15"/>
        <v>1381</v>
      </c>
      <c r="T18" s="184">
        <f t="shared" si="15"/>
        <v>2506</v>
      </c>
      <c r="U18" s="184">
        <f t="shared" si="15"/>
        <v>2505</v>
      </c>
      <c r="V18" s="184">
        <f t="shared" si="15"/>
        <v>1449</v>
      </c>
      <c r="W18" s="184">
        <f t="shared" si="15"/>
        <v>444</v>
      </c>
      <c r="X18" s="184">
        <f t="shared" si="15"/>
        <v>1414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1381</v>
      </c>
      <c r="AZ18" s="184">
        <f>SUBTOTAL(9,AZ14:AZ17)</f>
        <v>2506</v>
      </c>
      <c r="BA18" s="184">
        <f>SUBTOTAL(9,BA14:BA17)</f>
        <v>2505</v>
      </c>
      <c r="BB18" s="184">
        <f>SUBTOTAL(9,BB14:BB17)</f>
        <v>1449</v>
      </c>
      <c r="BC18" s="184">
        <f>SUBTOTAL(9,BC14:BC17)</f>
        <v>444</v>
      </c>
      <c r="BD18" s="205">
        <f>IF(ISNUMBER(BA18/AZ18),BA18/AZ18," - ")</f>
        <v>0.99960095770151636</v>
      </c>
      <c r="BE18" s="206">
        <f>IF(ISNUMBER(BB18/BA18),BB18/BA18, " - ")</f>
        <v>0.57844311377245505</v>
      </c>
      <c r="BF18" s="206">
        <f>IF(ISNUMBER(BC18/BA18),BC18/BA18, " - ")</f>
        <v>0.17724550898203592</v>
      </c>
      <c r="BG18" s="207">
        <f>IF(ISNUMBER((AY18+AZ18)/BA18),(AY18+AZ18)/BA18," - ")</f>
        <v>1.5516966067864271</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10523</v>
      </c>
      <c r="J19" s="134">
        <f t="shared" si="18"/>
        <v>5335</v>
      </c>
      <c r="K19" s="134">
        <f t="shared" si="18"/>
        <v>5835</v>
      </c>
      <c r="L19" s="134">
        <f t="shared" si="18"/>
        <v>10005</v>
      </c>
      <c r="M19" s="134">
        <f t="shared" si="18"/>
        <v>1220</v>
      </c>
      <c r="N19" s="134">
        <f t="shared" si="18"/>
        <v>3041</v>
      </c>
      <c r="O19" s="134">
        <f t="shared" si="18"/>
        <v>1400</v>
      </c>
      <c r="P19" s="134">
        <f t="shared" si="18"/>
        <v>866</v>
      </c>
      <c r="Q19" s="134">
        <f t="shared" si="18"/>
        <v>471</v>
      </c>
      <c r="R19" s="134">
        <f t="shared" si="18"/>
        <v>10789</v>
      </c>
      <c r="S19" s="134">
        <f t="shared" si="18"/>
        <v>9740</v>
      </c>
      <c r="T19" s="134">
        <f t="shared" si="18"/>
        <v>4847</v>
      </c>
      <c r="U19" s="134">
        <f t="shared" si="18"/>
        <v>4918</v>
      </c>
      <c r="V19" s="134">
        <f t="shared" si="18"/>
        <v>9892</v>
      </c>
      <c r="W19" s="134">
        <f t="shared" si="18"/>
        <v>928</v>
      </c>
      <c r="X19" s="134">
        <f t="shared" si="18"/>
        <v>2489</v>
      </c>
      <c r="Y19" s="134">
        <f t="shared" si="18"/>
        <v>157</v>
      </c>
      <c r="Z19" s="134">
        <f t="shared" si="18"/>
        <v>141</v>
      </c>
      <c r="AA19" s="134">
        <f t="shared" si="18"/>
        <v>135</v>
      </c>
      <c r="AB19" s="134">
        <f t="shared" si="18"/>
        <v>163</v>
      </c>
      <c r="AC19" s="134">
        <f t="shared" si="18"/>
        <v>0</v>
      </c>
      <c r="AD19" s="134">
        <f t="shared" si="18"/>
        <v>0</v>
      </c>
      <c r="AE19" s="134">
        <f t="shared" si="18"/>
        <v>0</v>
      </c>
      <c r="AF19" s="134">
        <f t="shared" si="18"/>
        <v>0</v>
      </c>
      <c r="AG19" s="134">
        <f t="shared" si="18"/>
        <v>250</v>
      </c>
      <c r="AH19" s="134">
        <f t="shared" si="18"/>
        <v>114</v>
      </c>
      <c r="AI19" s="134">
        <f t="shared" si="18"/>
        <v>254</v>
      </c>
      <c r="AJ19" s="134">
        <f t="shared" si="18"/>
        <v>142</v>
      </c>
      <c r="AK19" s="134">
        <f t="shared" si="18"/>
        <v>0</v>
      </c>
      <c r="AL19" s="134">
        <f t="shared" si="18"/>
        <v>0</v>
      </c>
      <c r="AM19" s="134">
        <f t="shared" si="18"/>
        <v>0</v>
      </c>
      <c r="AN19" s="210">
        <f t="shared" si="18"/>
        <v>0</v>
      </c>
      <c r="AO19" s="211">
        <v>11</v>
      </c>
      <c r="AP19" s="211">
        <v>10</v>
      </c>
      <c r="AQ19" s="211">
        <v>10</v>
      </c>
      <c r="AR19" s="211">
        <v>10</v>
      </c>
      <c r="AS19" s="153">
        <f t="shared" si="18"/>
        <v>0</v>
      </c>
      <c r="AT19" s="153">
        <f t="shared" si="18"/>
        <v>0</v>
      </c>
      <c r="AU19" s="211"/>
      <c r="AV19" s="212"/>
      <c r="AW19" s="211"/>
      <c r="AX19" s="212"/>
      <c r="AY19" s="133">
        <f>SUBTOTAL(9,AY9:AY18)</f>
        <v>9990</v>
      </c>
      <c r="AZ19" s="134">
        <f>SUBTOTAL(9,AZ9:AZ18)</f>
        <v>4961</v>
      </c>
      <c r="BA19" s="134">
        <f>SUBTOTAL(9,BA9:BA18)</f>
        <v>5172</v>
      </c>
      <c r="BB19" s="134">
        <f>SUBTOTAL(9,BB9:BB18)</f>
        <v>10034</v>
      </c>
      <c r="BC19" s="135">
        <f>SUBTOTAL(9,BC9:BC18)</f>
        <v>1524</v>
      </c>
      <c r="BD19" s="213">
        <f>IF(ISNUMBER(BA19/AZ19),BA19/AZ19," - ")</f>
        <v>1.0425317476315259</v>
      </c>
      <c r="BE19" s="210">
        <f>IF(ISNUMBER(BB19/BA19),BB19/BA19, " - ")</f>
        <v>1.940061871616396</v>
      </c>
      <c r="BF19" s="210">
        <f>IF(ISNUMBER(BC19/BA19),BC19/BA19, " - ")</f>
        <v>0.29466357308584684</v>
      </c>
      <c r="BG19" s="135">
        <f>IF(ISNUMBER((AY19+AZ19)/BA19),(AY19+AZ19)/BA19," - ")</f>
        <v>2.8907579273008506</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ZlRuuHcwSrY5kInG5OwNzbYojeTKwQ1i1vh1k/7ZGDHhnZhPUSzYLG44WsaWjk4dCnoYmyCcOF8hTrELvkw==" saltValue="egz/hPZlZQ++0JfNQbWWh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612</v>
      </c>
      <c r="ED5" s="1465" t="s">
        <v>582</v>
      </c>
      <c r="EE5" s="1465" t="s">
        <v>615</v>
      </c>
      <c r="EF5" s="1465" t="s">
        <v>616</v>
      </c>
      <c r="EG5" s="1468" t="s">
        <v>617</v>
      </c>
      <c r="EH5" s="1468" t="s">
        <v>618</v>
      </c>
      <c r="EI5" s="1468" t="s">
        <v>584</v>
      </c>
      <c r="EJ5" s="1468" t="s">
        <v>585</v>
      </c>
      <c r="EK5" s="1489" t="s">
        <v>662</v>
      </c>
      <c r="EL5" s="1480" t="s">
        <v>678</v>
      </c>
      <c r="EM5" s="1481"/>
      <c r="EN5" s="1482"/>
      <c r="EO5" s="1381" t="s">
        <v>735</v>
      </c>
      <c r="EP5" s="1381" t="s">
        <v>737</v>
      </c>
      <c r="EQ5" s="1381" t="s">
        <v>738</v>
      </c>
      <c r="ER5" s="1381" t="s">
        <v>743</v>
      </c>
      <c r="ES5" s="1381" t="s">
        <v>748</v>
      </c>
      <c r="ET5" s="1474" t="s">
        <v>812</v>
      </c>
      <c r="EU5" s="1474" t="s">
        <v>813</v>
      </c>
      <c r="EV5" s="1384" t="s">
        <v>829</v>
      </c>
      <c r="EW5" s="1468" t="s">
        <v>832</v>
      </c>
      <c r="EX5" s="1375" t="s">
        <v>846</v>
      </c>
      <c r="EY5" s="1363" t="s">
        <v>851</v>
      </c>
      <c r="EZ5" s="1360" t="s">
        <v>899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734</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679</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c r="EZ8" s="470" t="s">
        <v>900</v>
      </c>
    </row>
    <row r="9" spans="1:156"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c r="EZ9" s="156"/>
    </row>
    <row r="10" spans="1:156"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c r="EZ11" s="289"/>
    </row>
    <row r="12" spans="1:156"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a4CNgAn3siUQ5VQLBxaQxl6m74FKxvTnNMmfkDTKBfgEZoJWJFdQadjoiEZixiVeADf8FU6ROO6LMOeMzIjBA==" saltValue="gu9UuVw3AIzjQJ+hY6KE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TORREVIEJA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552</v>
      </c>
      <c r="F5" s="1503" t="s">
        <v>406</v>
      </c>
      <c r="G5" s="1492" t="s">
        <v>128</v>
      </c>
      <c r="H5" s="1492" t="s">
        <v>582</v>
      </c>
      <c r="I5" s="1492" t="s">
        <v>553</v>
      </c>
      <c r="J5" s="1492" t="s">
        <v>656</v>
      </c>
      <c r="K5" s="1492" t="s">
        <v>657</v>
      </c>
      <c r="L5" s="1492" t="s">
        <v>554</v>
      </c>
      <c r="M5" s="1492" t="s">
        <v>522</v>
      </c>
      <c r="N5" s="1492" t="s">
        <v>658</v>
      </c>
      <c r="O5" s="1495" t="s">
        <v>580</v>
      </c>
      <c r="P5" s="1492" t="s">
        <v>676</v>
      </c>
      <c r="Q5" s="1492" t="s">
        <v>671</v>
      </c>
      <c r="R5" s="1492" t="s">
        <v>168</v>
      </c>
      <c r="S5" s="1498" t="s">
        <v>668</v>
      </c>
      <c r="T5" s="1498" t="s">
        <v>670</v>
      </c>
      <c r="U5" s="1492" t="s">
        <v>583</v>
      </c>
      <c r="V5" s="1498" t="s">
        <v>555</v>
      </c>
      <c r="W5" s="1492" t="s">
        <v>762</v>
      </c>
      <c r="X5" s="1492" t="s">
        <v>763</v>
      </c>
      <c r="Y5" s="1512" t="s">
        <v>659</v>
      </c>
      <c r="Z5" s="1509" t="s">
        <v>605</v>
      </c>
      <c r="AA5" s="1527" t="s">
        <v>556</v>
      </c>
      <c r="AB5" s="1509" t="s">
        <v>557</v>
      </c>
      <c r="AC5" s="1509" t="s">
        <v>558</v>
      </c>
      <c r="AD5" s="1530" t="s">
        <v>660</v>
      </c>
      <c r="AE5" s="1530" t="s">
        <v>790</v>
      </c>
      <c r="AF5" s="1492" t="s">
        <v>672</v>
      </c>
      <c r="AG5" s="1492" t="s">
        <v>523</v>
      </c>
      <c r="AH5" s="1492" t="s">
        <v>661</v>
      </c>
      <c r="AI5" s="1492" t="s">
        <v>179</v>
      </c>
      <c r="AJ5" s="1492" t="s">
        <v>726</v>
      </c>
      <c r="AK5" s="1492" t="s">
        <v>524</v>
      </c>
      <c r="AL5" s="1492" t="s">
        <v>525</v>
      </c>
      <c r="AM5" s="1492" t="s">
        <v>677</v>
      </c>
      <c r="AN5" s="1492" t="s">
        <v>526</v>
      </c>
      <c r="AO5" s="1492" t="s">
        <v>527</v>
      </c>
      <c r="AP5" s="1492" t="s">
        <v>528</v>
      </c>
      <c r="AQ5" s="1492" t="s">
        <v>529</v>
      </c>
      <c r="AR5" s="1492" t="s">
        <v>662</v>
      </c>
      <c r="AS5" s="1492" t="s">
        <v>182</v>
      </c>
      <c r="AT5" s="1515" t="s">
        <v>180</v>
      </c>
      <c r="AU5" s="1492" t="s">
        <v>673</v>
      </c>
      <c r="AV5" s="1518" t="s">
        <v>674</v>
      </c>
      <c r="AW5" s="1521" t="s">
        <v>531</v>
      </c>
      <c r="AX5" s="1492" t="s">
        <v>532</v>
      </c>
      <c r="AY5" s="1492" t="s">
        <v>603</v>
      </c>
      <c r="AZ5" s="1524" t="s">
        <v>604</v>
      </c>
      <c r="BA5" s="1492" t="s">
        <v>560</v>
      </c>
      <c r="BB5" s="1518" t="s">
        <v>561</v>
      </c>
      <c r="BC5" s="1521" t="s">
        <v>183</v>
      </c>
      <c r="BD5" s="1492" t="s">
        <v>562</v>
      </c>
      <c r="BE5" s="1492" t="s">
        <v>247</v>
      </c>
      <c r="BF5" s="1492" t="s">
        <v>248</v>
      </c>
      <c r="BG5" s="1492" t="s">
        <v>249</v>
      </c>
      <c r="BH5" s="1492" t="s">
        <v>563</v>
      </c>
      <c r="BI5" s="1492" t="s">
        <v>250</v>
      </c>
      <c r="BJ5" s="1492" t="s">
        <v>564</v>
      </c>
      <c r="BK5" s="1492" t="s">
        <v>578</v>
      </c>
      <c r="BL5" s="1492" t="s">
        <v>565</v>
      </c>
      <c r="BM5" s="1492" t="s">
        <v>566</v>
      </c>
      <c r="BN5" s="1492" t="s">
        <v>591</v>
      </c>
      <c r="BO5" s="1492" t="s">
        <v>584</v>
      </c>
      <c r="BP5" s="1492" t="s">
        <v>830</v>
      </c>
      <c r="BQ5" s="1492" t="s">
        <v>833</v>
      </c>
      <c r="BR5" s="1492" t="s">
        <v>835</v>
      </c>
      <c r="BS5" s="1492" t="s">
        <v>585</v>
      </c>
      <c r="BT5" s="1492" t="s">
        <v>567</v>
      </c>
      <c r="BU5" s="1492" t="s">
        <v>530</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141</v>
      </c>
      <c r="O9" s="334"/>
      <c r="P9" s="334"/>
      <c r="Q9" s="226">
        <f>IF(ISNUMBER(Datos!P9),Datos!P9,0)</f>
        <v>747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359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163</v>
      </c>
      <c r="AI9" s="334" t="str">
        <f>IF(ISNUMBER(Datos!CD9),Datos!CD9,"-")</f>
        <v>-</v>
      </c>
      <c r="AJ9" s="334" t="str">
        <f>IF(ISNUMBER(Datos!EN9),Datos!EN9," - ")</f>
        <v xml:space="preserve"> - </v>
      </c>
      <c r="AK9" s="334"/>
      <c r="AL9" s="479"/>
      <c r="AM9" s="335">
        <f>IF(ISNUMBER(Datos!R9),Datos!R9," - ")</f>
        <v>10279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700</v>
      </c>
      <c r="BD9" s="229">
        <f>IF(ISNUMBER(Datos!N9),Datos!N9," - ")</f>
        <v>1227</v>
      </c>
      <c r="BE9" s="229" t="str">
        <f>IF(ISNUMBER(Datos!BW9),Datos!BW9," - ")</f>
        <v xml:space="preserve"> - </v>
      </c>
      <c r="BF9" s="228" t="str">
        <f>IF(ISNUMBER(Datos!BX9),Datos!BX9," - ")</f>
        <v xml:space="preserve"> - </v>
      </c>
      <c r="BG9" s="243">
        <f>IF(ISNUMBER(IF(J_V="SI",Datos!K9/Datos!J9,(Datos!K9+Datos!AA9)/(Datos!J9+Datos!Z9))),IF(J_V="SI",Datos!K9/Datos!J9,(Datos!K9+Datos!AA9)/(Datos!J9+Datos!Z9))," - ")</f>
        <v>1.1749611197511665</v>
      </c>
      <c r="BH9" s="260">
        <f>IF(ISNUMBER(((IF(J_V="SI",Datos!L9/Datos!K9,(Datos!L9+Datos!AB9)/(Datos!K9+Datos!AA9)))*11)/factor_trimestre),((IF(J_V="SI",Datos!L9/Datos!K9,(Datos!L9+Datos!AB9)/(Datos!K9+Datos!AA9)))*11)/factor_trimestre," - ")</f>
        <v>8.1839841164791522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3.9227580628854515E-2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107</v>
      </c>
      <c r="G10" s="333">
        <f>IF(ISNUMBER(Datos!I10),Datos!I10," - ")</f>
        <v>107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19</v>
      </c>
      <c r="AC10" s="226">
        <f>IF(ISNUMBER(Datos!Q10),Datos!Q10," - ")</f>
        <v>2</v>
      </c>
      <c r="AD10" s="334"/>
      <c r="AE10" s="484"/>
      <c r="AF10" s="332">
        <f>IF(ISNUMBER(Datos!L10),Datos!L10,"-")</f>
        <v>112</v>
      </c>
      <c r="AG10" s="334"/>
      <c r="AH10" s="334"/>
      <c r="AI10" s="334"/>
      <c r="AJ10" s="334"/>
      <c r="AK10" s="334"/>
      <c r="AL10" s="479"/>
      <c r="AM10" s="335">
        <f>IF(ISNUMBER(Datos!R10),Datos!R10," - ")</f>
        <v>82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4</v>
      </c>
      <c r="BE10" s="229" t="str">
        <f>IF(ISNUMBER(Datos!BW10),Datos!BW10," - ")</f>
        <v xml:space="preserve"> - </v>
      </c>
      <c r="BF10" s="228" t="str">
        <f>IF(ISNUMBER(Datos!BX10),Datos!BX10," - ")</f>
        <v xml:space="preserve"> - </v>
      </c>
      <c r="BG10" s="243">
        <f>IF(ISNUMBER(Datos!K10/Datos!J10),Datos!K10/Datos!J10," - ")</f>
        <v>0.79166666666666663</v>
      </c>
      <c r="BH10" s="260">
        <f>IF(ISNUMBER(((Datos!L10/Datos!K10)*11)/factor_trimestre),((Datos!L10/Datos!K10)*11)/factor_trimestre," - ")</f>
        <v>17.684210526315788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6.4935064935064929E-2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107</v>
      </c>
      <c r="G13" s="898">
        <f t="shared" si="0"/>
        <v>107</v>
      </c>
      <c r="H13" s="899">
        <f t="shared" si="0"/>
        <v>0</v>
      </c>
      <c r="I13" s="898">
        <f t="shared" si="0"/>
        <v>0</v>
      </c>
      <c r="J13" s="867">
        <f t="shared" si="0"/>
        <v>0</v>
      </c>
      <c r="K13" s="867">
        <f t="shared" si="0"/>
        <v>0</v>
      </c>
      <c r="L13" s="899">
        <f t="shared" si="0"/>
        <v>0</v>
      </c>
      <c r="M13" s="899">
        <f t="shared" si="0"/>
        <v>0</v>
      </c>
      <c r="N13" s="899">
        <f t="shared" si="0"/>
        <v>141</v>
      </c>
      <c r="O13" s="900">
        <f t="shared" si="0"/>
        <v>0</v>
      </c>
      <c r="P13" s="900">
        <f t="shared" si="0"/>
        <v>0</v>
      </c>
      <c r="Q13" s="899">
        <f t="shared" si="0"/>
        <v>754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19</v>
      </c>
      <c r="AC13" s="899">
        <f t="shared" si="1"/>
        <v>361</v>
      </c>
      <c r="AD13" s="899">
        <f t="shared" si="1"/>
        <v>0</v>
      </c>
      <c r="AE13" s="899">
        <f t="shared" si="1"/>
        <v>0</v>
      </c>
      <c r="AF13" s="899">
        <f t="shared" si="1"/>
        <v>112</v>
      </c>
      <c r="AG13" s="899">
        <f t="shared" si="1"/>
        <v>0</v>
      </c>
      <c r="AH13" s="899">
        <f t="shared" si="1"/>
        <v>163</v>
      </c>
      <c r="AI13" s="899">
        <f t="shared" si="1"/>
        <v>0</v>
      </c>
      <c r="AJ13" s="899">
        <f t="shared" si="1"/>
        <v>0</v>
      </c>
      <c r="AK13" s="899">
        <f t="shared" si="1"/>
        <v>0</v>
      </c>
      <c r="AL13" s="899">
        <f t="shared" si="1"/>
        <v>0</v>
      </c>
      <c r="AM13" s="899">
        <f t="shared" si="1"/>
        <v>10361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714</v>
      </c>
      <c r="BD13" s="899">
        <f t="shared" si="1"/>
        <v>1231</v>
      </c>
      <c r="BE13" s="899">
        <f t="shared" si="1"/>
        <v>0</v>
      </c>
      <c r="BF13" s="899">
        <f t="shared" si="1"/>
        <v>0</v>
      </c>
      <c r="BG13" s="899">
        <f>IF(ISNUMBER(Datos!K13/Datos!J13),Datos!K13/Datos!J13," - ")</f>
        <v>1.1837067209775967</v>
      </c>
      <c r="BH13" s="903">
        <f>IF(ISNUMBER(((Datos!L13/Datos!K13)*11)/factor_trimestre),((Datos!L13/Datos!K13)*11)/factor_trimestre," - ")</f>
        <v>8.4580178940123876</v>
      </c>
      <c r="BI13" s="899">
        <f>IF(ISNUMBER('Resol  Asuntos'!D13/NºAsuntos!G13),'Resol  Asuntos'!D13/NºAsuntos!G13," - ")</f>
        <v>0.23479118710950345</v>
      </c>
      <c r="BJ13" s="899" t="str">
        <f>IF(ISNUMBER(Datos!CI13/Datos!CJ13),Datos!CI13/Datos!CJ13," - ")</f>
        <v xml:space="preserve"> - </v>
      </c>
      <c r="BK13" s="899">
        <f>SUBTOTAL(9,BK8:BK12)</f>
        <v>0</v>
      </c>
      <c r="BL13" s="899">
        <f>IF(ISNUMBER((I13-AB13+L13)/(F13)),(I13-AB13+L13)/(F13)," - ")</f>
        <v>-0.17757009345794392</v>
      </c>
      <c r="BM13" s="904">
        <f>SUBTOTAL(9,BM9:BM12)</f>
        <v>0.10416264556391944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1709</v>
      </c>
      <c r="G15" s="598">
        <f>IF(ISNUMBER(IF(D_I="SI",Datos!I15,Datos!I15+Datos!AC15)),IF(D_I="SI",Datos!I15,Datos!I15+Datos!AC15)," - ")</f>
        <v>1635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110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2669</v>
      </c>
      <c r="AC15" s="226">
        <f>IF(ISNUMBER(Datos!Q15),Datos!Q15," - ")</f>
        <v>105</v>
      </c>
      <c r="AD15" s="334"/>
      <c r="AE15" s="484"/>
      <c r="AF15" s="596">
        <f>IF(ISNUMBER(IF(D_I="SI",Datos!L15,Datos!L15+Datos!AF15)),IF(D_I="SI",Datos!L15,Datos!L15+Datos!AF15)," - ")</f>
        <v>1674</v>
      </c>
      <c r="AG15" s="334"/>
      <c r="AH15" s="334"/>
      <c r="AI15" s="334"/>
      <c r="AJ15" s="334"/>
      <c r="AK15" s="334"/>
      <c r="AL15" s="479"/>
      <c r="AM15" s="335">
        <f>IF(ISNUMBER(Datos!R15),Datos!R15," - ")</f>
        <v>381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438</v>
      </c>
      <c r="BD15" s="229">
        <f>IF(ISNUMBER(Datos!N15),Datos!N15," - ")</f>
        <v>1650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1.013287775246773</v>
      </c>
      <c r="BH15" s="260">
        <f>IF(ISNUMBER(((IF(D_I="SI",Datos!L15/Datos!K15,(Datos!L15+Datos!AF15)/(Datos!K15+Datos!AE15)))*11)/factor_trimestre),((IF(D_I="SI",Datos!L15/Datos!K15,(Datos!L15+Datos!AF15)/(Datos!K15+Datos!AE15)))*11)/factor_trimestre," - ")</f>
        <v>1.881603596852754</v>
      </c>
      <c r="BI15" s="243">
        <f>IF(ISNUMBER('Resol  Asuntos'!D15/NºAsuntos!G15),'Resol  Asuntos'!D15/NºAsuntos!G15," - ")</f>
        <v>0.16410640689396777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5</v>
      </c>
      <c r="G16" s="598">
        <f>IF(ISNUMBER(IF(D_I="SI",Datos!I16,Datos!I16+Datos!AC16)),IF(D_I="SI",Datos!I16,Datos!I16+Datos!AC16)," - ")</f>
        <v>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v>
      </c>
      <c r="AC16" s="226">
        <f>IF(ISNUMBER(Datos!Q16),Datos!Q16," - ")</f>
        <v>3</v>
      </c>
      <c r="AD16" s="334"/>
      <c r="AE16" s="484"/>
      <c r="AF16" s="596">
        <f>IF(ISNUMBER(IF(D_I="SI",Datos!L16,Datos!L16+Datos!AF16)),IF(D_I="SI",Datos!L16,Datos!L16+Datos!AF16)," - ")</f>
        <v>0</v>
      </c>
      <c r="AG16" s="334"/>
      <c r="AH16" s="334"/>
      <c r="AI16" s="334"/>
      <c r="AJ16" s="334"/>
      <c r="AK16" s="334"/>
      <c r="AL16" s="479"/>
      <c r="AM16" s="335">
        <f>IF(ISNUMBER(Datos!R16),Datos!R16," - ")</f>
        <v>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3</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f>IF(ISNUMBER(((IF(D_I="SI",Datos!L16/Datos!K16,(Datos!L16+Datos!AF16)/(Datos!K16+Datos!AE16)))*11)/factor_trimestre),((IF(D_I="SI",Datos!L16/Datos!K16,(Datos!L16+Datos!AF16)/(Datos!K16+Datos!AE16)))*11)/factor_trimestre," - ")</f>
        <v>0</v>
      </c>
      <c r="BI16" s="243">
        <f>IF(ISNUMBER('Resol  Asuntos'!D16/NºAsuntos!G16),'Resol  Asuntos'!D16/NºAsuntos!G16," - ")</f>
        <v>0</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147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255</v>
      </c>
      <c r="AC17" s="226">
        <f>IF(ISNUMBER(Datos!Q17),Datos!Q17," - ")</f>
        <v>2</v>
      </c>
      <c r="AD17" s="334"/>
      <c r="AE17" s="484"/>
      <c r="AF17" s="332">
        <f>IF(ISNUMBER(Datos!L17),Datos!L17,"-")</f>
        <v>138</v>
      </c>
      <c r="AG17" s="334"/>
      <c r="AH17" s="334"/>
      <c r="AI17" s="334"/>
      <c r="AJ17" s="334"/>
      <c r="AK17" s="334"/>
      <c r="AL17" s="479"/>
      <c r="AM17" s="335">
        <f>IF(ISNUMBER(Datos!R17),Datos!R17," - ")</f>
        <v>46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68</v>
      </c>
      <c r="BD17" s="229">
        <f>IF(ISNUMBER(Datos!N17),Datos!N17," - ")</f>
        <v>157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1.0365853658536586</v>
      </c>
      <c r="BH17" s="260">
        <f>IF(ISNUMBER(((IF(D_I="SI",Datos!L17/Datos!K17,(Datos!L17+Datos!AF17)/(Datos!K17+Datos!AE17)))*11)/factor_trimestre),((IF(D_I="SI",Datos!L17/Datos!K17,(Datos!L17+Datos!AF17)/(Datos!K17+Datos!AE17)))*11)/factor_trimestre," - ")</f>
        <v>1.6235294117647057</v>
      </c>
      <c r="BI17" s="243">
        <f>IF(ISNUMBER('Resol  Asuntos'!D17/NºAsuntos!G17),'Resol  Asuntos'!D17/NºAsuntos!G17," - ")</f>
        <v>0.26666666666666666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1714</v>
      </c>
      <c r="G18" s="898">
        <f>SUBTOTAL(9,G15:G17)</f>
        <v>1785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2929</v>
      </c>
      <c r="AC18" s="899">
        <f t="shared" si="4"/>
        <v>110</v>
      </c>
      <c r="AD18" s="899">
        <f t="shared" si="4"/>
        <v>0</v>
      </c>
      <c r="AE18" s="899">
        <f t="shared" si="4"/>
        <v>0</v>
      </c>
      <c r="AF18" s="899">
        <f t="shared" si="4"/>
        <v>1812</v>
      </c>
      <c r="AG18" s="899">
        <f t="shared" si="4"/>
        <v>0</v>
      </c>
      <c r="AH18" s="899">
        <f t="shared" si="4"/>
        <v>0</v>
      </c>
      <c r="AI18" s="899">
        <f t="shared" si="4"/>
        <v>0</v>
      </c>
      <c r="AJ18" s="899">
        <f t="shared" si="4"/>
        <v>0</v>
      </c>
      <c r="AK18" s="899">
        <f t="shared" si="4"/>
        <v>0</v>
      </c>
      <c r="AL18" s="899">
        <f t="shared" si="4"/>
        <v>0</v>
      </c>
      <c r="AM18" s="899">
        <f t="shared" si="4"/>
        <v>428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506</v>
      </c>
      <c r="BD18" s="899">
        <f t="shared" si="4"/>
        <v>1810</v>
      </c>
      <c r="BE18" s="899">
        <f t="shared" si="4"/>
        <v>0</v>
      </c>
      <c r="BF18" s="899">
        <f t="shared" si="4"/>
        <v>0</v>
      </c>
      <c r="BG18" s="899">
        <f>IF(ISNUMBER(Datos!K18/Datos!J18),Datos!K18/Datos!J18," - ")</f>
        <v>1.0170138888888889</v>
      </c>
      <c r="BH18" s="903">
        <f>IF(ISNUMBER(((Datos!L18/Datos!K18)*11)/factor_trimestre),((Datos!L18/Datos!K18)*11)/factor_trimestre," - ")</f>
        <v>1.8559235233868216</v>
      </c>
      <c r="BI18" s="899">
        <f>SUBTOTAL(9,BI15:BI17)</f>
        <v>0.43077307356063443</v>
      </c>
      <c r="BJ18" s="899">
        <f>SUBTOTAL(9,BJ15:BJ17)</f>
        <v>0</v>
      </c>
      <c r="BK18" s="899">
        <f>SUBTOTAL(9,BK15:BK17)</f>
        <v>0</v>
      </c>
      <c r="BL18" s="899">
        <f>IF(ISNUMBER((I18-AB18+L18)/(F18)),(I18-AB18+L18)/(F18)," - ")</f>
        <v>-1.7088681446907819</v>
      </c>
      <c r="BM18" s="905">
        <f>IF(ISNUMBER((Datos!P18-Datos!Q18)/(Datos!R18-Datos!P18+Datos!Q18)),(Datos!P18-Datos!Q18)/(Datos!R18-Datos!P18+Datos!Q18)," - ")</f>
        <v>4.6948356807511738E-3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1821</v>
      </c>
      <c r="G19" s="820">
        <f t="shared" si="6"/>
        <v>1892</v>
      </c>
      <c r="H19" s="822">
        <f t="shared" si="6"/>
        <v>0</v>
      </c>
      <c r="I19" s="820">
        <f t="shared" si="6"/>
        <v>0</v>
      </c>
      <c r="J19" s="822">
        <f t="shared" si="6"/>
        <v>0</v>
      </c>
      <c r="K19" s="822">
        <f t="shared" si="6"/>
        <v>0</v>
      </c>
      <c r="L19" s="881">
        <f t="shared" si="6"/>
        <v>0</v>
      </c>
      <c r="M19" s="881">
        <f t="shared" si="6"/>
        <v>0</v>
      </c>
      <c r="N19" s="881">
        <f t="shared" si="6"/>
        <v>141</v>
      </c>
      <c r="O19" s="881">
        <f t="shared" si="6"/>
        <v>0</v>
      </c>
      <c r="P19" s="881">
        <f t="shared" si="6"/>
        <v>0</v>
      </c>
      <c r="Q19" s="822">
        <f t="shared" si="6"/>
        <v>866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2948</v>
      </c>
      <c r="AC19" s="821">
        <f t="shared" si="7"/>
        <v>471</v>
      </c>
      <c r="AD19" s="821">
        <f t="shared" si="7"/>
        <v>0</v>
      </c>
      <c r="AE19" s="821">
        <f t="shared" si="7"/>
        <v>0</v>
      </c>
      <c r="AF19" s="828">
        <f t="shared" si="7"/>
        <v>1924</v>
      </c>
      <c r="AG19" s="828">
        <f t="shared" si="7"/>
        <v>0</v>
      </c>
      <c r="AH19" s="828">
        <f t="shared" si="7"/>
        <v>163</v>
      </c>
      <c r="AI19" s="828">
        <f t="shared" si="7"/>
        <v>0</v>
      </c>
      <c r="AJ19" s="821">
        <f t="shared" si="7"/>
        <v>0</v>
      </c>
      <c r="AK19" s="828">
        <f t="shared" si="7"/>
        <v>0</v>
      </c>
      <c r="AL19" s="828">
        <f t="shared" si="7"/>
        <v>0</v>
      </c>
      <c r="AM19" s="828">
        <f t="shared" si="7"/>
        <v>10789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1220</v>
      </c>
      <c r="BD19" s="820">
        <f t="shared" si="7"/>
        <v>3041</v>
      </c>
      <c r="BE19" s="820">
        <f t="shared" si="7"/>
        <v>0</v>
      </c>
      <c r="BF19" s="830">
        <f t="shared" si="7"/>
        <v>0</v>
      </c>
      <c r="BG19" s="915">
        <f>IF(ISNUMBER(Datos!K19/Datos!J19),Datos!K19/Datos!J19," - ")</f>
        <v>1.0937207122774133</v>
      </c>
      <c r="BH19" s="915">
        <f>IF(ISNUMBER(((Datos!L19/Datos!K19)*11)/factor_trimestre),((Datos!L19/Datos!K19)*11)/factor_trimestre," - ")</f>
        <v>5.1439588688946021</v>
      </c>
      <c r="BI19" s="813">
        <f>IF(ISNUMBER(Datos!J19/Datos!I19),Datos!J19/Datos!I19," - ")</f>
        <v>0.50698470018055686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-1.6188907193849533</v>
      </c>
      <c r="BM19" s="889">
        <f>IF(ISNUMBER((Datos!P19-Datos!Q19+R19)/(Datos!R19-Datos!P19+Datos!Q19-R19)),(Datos!P19-Datos!Q19+R19)/(Datos!R19-Datos!P19+Datos!Q19-R19)," - ")</f>
        <v>3.8002693861843372E-2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630.66666666666663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2.5055493963954847</v>
      </c>
      <c r="F21" s="551">
        <f>IF(ISNUMBER(STDEV(F8:F18)),STDEV(F8:F18),"-")</f>
        <v>898.41070786138789</v>
      </c>
      <c r="G21" s="552">
        <f>IF(ISNUMBER(STDEV(G8:G18)),STDEV(G8:G18),"-")</f>
        <v>838.75185046989122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1412.4143395854726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316.74956308460116</v>
      </c>
      <c r="BD21" s="551"/>
      <c r="BE21" s="551">
        <f>IF(ISNUMBER(STDEV(BE8:BE18)),STDEV(BE8:BE18),"-")</f>
        <v>0</v>
      </c>
      <c r="BF21" s="556">
        <f>IF(ISNUMBER(STDEV(BF8:BF18)),STDEV(BF8:BF18),"-")</f>
        <v>0</v>
      </c>
      <c r="BG21" s="775">
        <f>IF(ISNUMBER(STDEV(BG8:BG18)),STDEV(BG8:BG18),"-")</f>
        <v>0.14262023526239923</v>
      </c>
      <c r="BH21" s="776">
        <f>IF(ISNUMBER(STDEV(BH8:BH18)),STDEV(BH8:BH18),"-")</f>
        <v>6.2697204126757713</v>
      </c>
      <c r="BI21" s="249">
        <f>IF(ISNUMBER(STDEV(BI8:BI18)),STDEV(BI8:BI18),"-")</f>
        <v>0.15679864178164768</v>
      </c>
      <c r="BJ21" s="230" t="str">
        <f>IF(ISNUMBER(BL21/BM21),BL21/BM21," - ")</f>
        <v xml:space="preserve"> - </v>
      </c>
      <c r="BK21" s="575"/>
      <c r="BL21" s="559">
        <f>IF(ISNUMBER(STDEV(BL8:BL18)),STDEV(BL8:BL18),"-")</f>
        <v>1.0827912360444851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SyxlXcBpkchwXdda+iXjY3cbl+xfw/Zi5cWLmxA8Tj8rbjgs0JnQyogw43uc6x5ymt8WQRDkoyaEKLv6cWlChw==" saltValue="Hd7ME2IbEQmcHzZmvY48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TORREVIEJA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552</v>
      </c>
      <c r="F5" s="1503" t="s">
        <v>406</v>
      </c>
      <c r="G5" s="1492" t="s">
        <v>128</v>
      </c>
      <c r="H5" s="1492" t="s">
        <v>582</v>
      </c>
      <c r="I5" s="1492" t="s">
        <v>553</v>
      </c>
      <c r="J5" s="1492" t="s">
        <v>675</v>
      </c>
      <c r="K5" s="1492" t="s">
        <v>554</v>
      </c>
      <c r="L5" s="1492" t="s">
        <v>580</v>
      </c>
      <c r="M5" s="1492" t="s">
        <v>676</v>
      </c>
      <c r="N5" s="1492" t="s">
        <v>579</v>
      </c>
      <c r="O5" s="1492" t="s">
        <v>606</v>
      </c>
      <c r="P5" s="1498" t="s">
        <v>668</v>
      </c>
      <c r="Q5" s="1498" t="s">
        <v>670</v>
      </c>
      <c r="R5" s="1492" t="s">
        <v>586</v>
      </c>
      <c r="S5" s="1492" t="s">
        <v>555</v>
      </c>
      <c r="T5" s="1492" t="s">
        <v>762</v>
      </c>
      <c r="U5" s="1492" t="s">
        <v>763</v>
      </c>
      <c r="V5" s="1512" t="s">
        <v>659</v>
      </c>
      <c r="W5" s="1509" t="s">
        <v>568</v>
      </c>
      <c r="X5" s="1527" t="s">
        <v>569</v>
      </c>
      <c r="Y5" s="1530" t="s">
        <v>587</v>
      </c>
      <c r="Z5" s="1530" t="s">
        <v>607</v>
      </c>
      <c r="AA5" s="1492" t="s">
        <v>559</v>
      </c>
      <c r="AB5" s="1492" t="s">
        <v>570</v>
      </c>
      <c r="AC5" s="1492" t="s">
        <v>571</v>
      </c>
      <c r="AD5" s="1492" t="s">
        <v>525</v>
      </c>
      <c r="AE5" s="1492" t="s">
        <v>677</v>
      </c>
      <c r="AF5" s="1492" t="s">
        <v>182</v>
      </c>
      <c r="AG5" s="1492" t="s">
        <v>572</v>
      </c>
      <c r="AH5" s="1492" t="s">
        <v>560</v>
      </c>
      <c r="AI5" s="1492" t="s">
        <v>561</v>
      </c>
      <c r="AJ5" s="1492" t="s">
        <v>573</v>
      </c>
      <c r="AK5" s="1492" t="s">
        <v>574</v>
      </c>
      <c r="AL5" s="1492" t="s">
        <v>575</v>
      </c>
      <c r="AM5" s="1524" t="s">
        <v>576</v>
      </c>
      <c r="AN5" s="1492" t="s">
        <v>249</v>
      </c>
      <c r="AO5" s="1492" t="s">
        <v>563</v>
      </c>
      <c r="AP5" s="1492" t="s">
        <v>564</v>
      </c>
      <c r="AQ5" s="1492" t="s">
        <v>588</v>
      </c>
      <c r="AR5" s="1492" t="s">
        <v>589</v>
      </c>
      <c r="AS5" s="1492" t="s">
        <v>591</v>
      </c>
      <c r="AT5" s="1492" t="s">
        <v>584</v>
      </c>
      <c r="AU5" s="1492" t="s">
        <v>830</v>
      </c>
      <c r="AV5" s="1492" t="s">
        <v>333</v>
      </c>
      <c r="AW5" s="1492" t="s">
        <v>577</v>
      </c>
      <c r="AX5" s="1492" t="s">
        <v>530</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747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359</v>
      </c>
      <c r="AA9" s="332" t="str">
        <f>IF(ISNUMBER(IF(J_V="SI",Datos!L9,Datos!L9+Datos!AB9)-IF(Monitorios="SI",Datos!CD9,0)),
                          IF(J_V="SI",Datos!L9,Datos!L9+Datos!AB9)-IF(Monitorios="SI",Datos!CD9,0),
                          " - ")</f>
        <v xml:space="preserve"> - </v>
      </c>
      <c r="AB9" s="334"/>
      <c r="AC9" s="334"/>
      <c r="AD9" s="484"/>
      <c r="AE9" s="484">
        <f>IF(ISNUMBER(Datos!R9),Datos!R9," - ")</f>
        <v>10279</v>
      </c>
      <c r="AF9" s="229" t="str">
        <f>IF(ISNUMBER(Datos!BV9),Datos!BV9," - ")</f>
        <v xml:space="preserve"> - </v>
      </c>
      <c r="AG9" s="225" t="str">
        <f>IF(ISNUMBER(Datos!DV9),Datos!DV9," - ")</f>
        <v xml:space="preserve"> - </v>
      </c>
      <c r="AH9" s="298"/>
      <c r="AI9" s="227"/>
      <c r="AJ9" s="225">
        <f>IF(ISNUMBER(Datos!M9),Datos!M9," - ")</f>
        <v>700</v>
      </c>
      <c r="AK9" s="229">
        <f>IF(ISNUMBER(Datos!N9),Datos!N9," - ")</f>
        <v>1227</v>
      </c>
      <c r="AL9" s="229" t="str">
        <f>IF(ISNUMBER(Datos!BW9),Datos!BW9," - ")</f>
        <v xml:space="preserve"> - </v>
      </c>
      <c r="AM9" s="228" t="str">
        <f>IF(ISNUMBER(Datos!BX9),Datos!BX9," - ")</f>
        <v xml:space="preserve"> - </v>
      </c>
      <c r="AN9" s="243"/>
      <c r="AO9" s="260">
        <f>IF(ISNUMBER(((NºAsuntos!I9/NºAsuntos!G9)*11)/factor_trimestre),((NºAsuntos!I9/NºAsuntos!G9)*11)/factor_trimestre," - ")</f>
        <v>8.1839841164791522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3.9227580628854515E-2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107</v>
      </c>
      <c r="G10" s="225">
        <f>IF(ISNUMBER(Datos!I10),Datos!I10," - ")</f>
        <v>107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19</v>
      </c>
      <c r="Z10" s="619">
        <f>IF(ISNUMBER(Datos!Q10),Datos!Q10," - ")</f>
        <v>2</v>
      </c>
      <c r="AA10" s="332">
        <f>IF(ISNUMBER(Datos!L10),Datos!L10,"-")</f>
        <v>112</v>
      </c>
      <c r="AB10" s="334"/>
      <c r="AC10" s="334"/>
      <c r="AD10" s="484"/>
      <c r="AE10" s="484">
        <f>IF(ISNUMBER(Datos!R10),Datos!R10," - ")</f>
        <v>82</v>
      </c>
      <c r="AF10" s="229" t="str">
        <f>IF(ISNUMBER(Datos!BV10),Datos!BV10," - ")</f>
        <v xml:space="preserve"> - </v>
      </c>
      <c r="AG10" s="225" t="str">
        <f>IF(ISNUMBER(Datos!DV10),Datos!DV10," - ")</f>
        <v xml:space="preserve"> - </v>
      </c>
      <c r="AH10" s="298"/>
      <c r="AI10" s="227"/>
      <c r="AJ10" s="225">
        <f>IF(ISNUMBER(Datos!M10),Datos!M10," - ")</f>
        <v>14</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17.684210526315788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6.4935064935064929E-2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107</v>
      </c>
      <c r="G13" s="898">
        <f>SUBTOTAL(9,G8:G12)</f>
        <v>107</v>
      </c>
      <c r="H13" s="908"/>
      <c r="I13" s="898">
        <f t="shared" ref="I13:N13" si="0">SUBTOTAL(9,I8:I12)</f>
        <v>0</v>
      </c>
      <c r="J13" s="867">
        <f t="shared" si="0"/>
        <v>0</v>
      </c>
      <c r="K13" s="908">
        <f t="shared" si="0"/>
        <v>0</v>
      </c>
      <c r="L13" s="908">
        <f t="shared" si="0"/>
        <v>0</v>
      </c>
      <c r="M13" s="908">
        <f t="shared" si="0"/>
        <v>0</v>
      </c>
      <c r="N13" s="908">
        <f t="shared" si="0"/>
        <v>754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19</v>
      </c>
      <c r="Z13" s="907">
        <f t="shared" si="2"/>
        <v>361</v>
      </c>
      <c r="AA13" s="900">
        <f t="shared" si="2"/>
        <v>112</v>
      </c>
      <c r="AB13" s="900">
        <f t="shared" si="2"/>
        <v>0</v>
      </c>
      <c r="AC13" s="900">
        <f t="shared" si="2"/>
        <v>0</v>
      </c>
      <c r="AD13" s="900">
        <f t="shared" si="2"/>
        <v>0</v>
      </c>
      <c r="AE13" s="900">
        <f t="shared" si="2"/>
        <v>10361</v>
      </c>
      <c r="AF13" s="908">
        <f t="shared" si="2"/>
        <v>0</v>
      </c>
      <c r="AG13" s="908">
        <f t="shared" si="2"/>
        <v>0</v>
      </c>
      <c r="AH13" s="908">
        <f t="shared" si="2"/>
        <v>0</v>
      </c>
      <c r="AI13" s="908">
        <f t="shared" si="2"/>
        <v>0</v>
      </c>
      <c r="AJ13" s="908">
        <f t="shared" si="2"/>
        <v>714</v>
      </c>
      <c r="AK13" s="908">
        <f t="shared" si="2"/>
        <v>1231</v>
      </c>
      <c r="AL13" s="908">
        <f t="shared" si="2"/>
        <v>0</v>
      </c>
      <c r="AM13" s="908">
        <f t="shared" si="2"/>
        <v>0</v>
      </c>
      <c r="AN13" s="908">
        <f t="shared" si="2"/>
        <v>0</v>
      </c>
      <c r="AO13" s="904">
        <f>IF(ISNUMBER(((NºAsuntos!I13/NºAsuntos!G13)*11)/factor_trimestre),((NºAsuntos!I13/NºAsuntos!G13)*11)/factor_trimestre," - ")</f>
        <v>8.2433410062479453</v>
      </c>
      <c r="AP13" s="910" t="str">
        <f>IF(ISNUMBER(Datos!CI13/Datos!CJ13),Datos!CI13/Datos!CJ13," - ")</f>
        <v xml:space="preserve"> - </v>
      </c>
      <c r="AQ13" s="928">
        <f t="shared" ref="AQ13:AV13" si="3">SUBTOTAL(9,AQ9:AQ12)</f>
        <v>0</v>
      </c>
      <c r="AR13" s="928">
        <f t="shared" si="3"/>
        <v>0.10416264556391944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1709</v>
      </c>
      <c r="G15" s="225">
        <f>IF(ISNUMBER(IF(D_I="SI",Datos!I15,Datos!I15+Datos!AC15)),IF(D_I="SI",Datos!I15,Datos!I15+Datos!AC15)," - ")</f>
        <v>1635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110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2669</v>
      </c>
      <c r="Z15" s="619">
        <f>IF(ISNUMBER(Datos!Q15),Datos!Q15," - ")</f>
        <v>105</v>
      </c>
      <c r="AA15" s="332">
        <f>IF(ISNUMBER(IF(D_I="SI",Datos!L15,Datos!L15+Datos!AF15)),IF(D_I="SI",Datos!L15,Datos!L15+Datos!AF15)," - ")</f>
        <v>1674</v>
      </c>
      <c r="AB15" s="334"/>
      <c r="AC15" s="334"/>
      <c r="AD15" s="484"/>
      <c r="AE15" s="484">
        <f>IF(ISNUMBER(Datos!R15),Datos!R15," - ")</f>
        <v>381</v>
      </c>
      <c r="AF15" s="229" t="str">
        <f>IF(ISNUMBER(Datos!BV15),Datos!BV15," - ")</f>
        <v xml:space="preserve"> - </v>
      </c>
      <c r="AG15" s="225"/>
      <c r="AH15" s="298"/>
      <c r="AI15" s="227"/>
      <c r="AJ15" s="225">
        <f>IF(ISNUMBER(Datos!M15),Datos!M15," - ")</f>
        <v>438</v>
      </c>
      <c r="AK15" s="229">
        <f>IF(ISNUMBER(Datos!N15),Datos!N15," - ")</f>
        <v>1650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1.881603596852754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5</v>
      </c>
      <c r="G16" s="225">
        <f>IF(ISNUMBER(IF(D_I="SI",Datos!I16,Datos!I16+Datos!AC16)),IF(D_I="SI",Datos!I16,Datos!I16+Datos!AC16)," - ")</f>
        <v>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v>
      </c>
      <c r="Z16" s="619">
        <f>IF(ISNUMBER(Datos!Q16),Datos!Q16," - ")</f>
        <v>3</v>
      </c>
      <c r="AA16" s="332">
        <f>IF(ISNUMBER(IF(D_I="SI",Datos!L16,Datos!L16+Datos!AF16)),IF(D_I="SI",Datos!L16,Datos!L16+Datos!AF16)," - ")</f>
        <v>0</v>
      </c>
      <c r="AB16" s="334"/>
      <c r="AC16" s="334"/>
      <c r="AD16" s="484"/>
      <c r="AE16" s="484">
        <f>IF(ISNUMBER(Datos!R16),Datos!R16," - ")</f>
        <v>1</v>
      </c>
      <c r="AF16" s="229" t="str">
        <f>IF(ISNUMBER(Datos!BV16),Datos!BV16," - ")</f>
        <v xml:space="preserve"> - </v>
      </c>
      <c r="AG16" s="225"/>
      <c r="AH16" s="298"/>
      <c r="AI16" s="227"/>
      <c r="AJ16" s="225">
        <f>IF(ISNUMBER(Datos!M16),Datos!M16," - ")</f>
        <v>0</v>
      </c>
      <c r="AK16" s="229">
        <f>IF(ISNUMBER(Datos!N16),Datos!N16," - ")</f>
        <v>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0</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147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255</v>
      </c>
      <c r="Z17" s="619">
        <f>IF(ISNUMBER(Datos!Q17),Datos!Q17," - ")</f>
        <v>2</v>
      </c>
      <c r="AA17" s="332">
        <f>IF(ISNUMBER(Datos!L17),Datos!L17,"-")</f>
        <v>138</v>
      </c>
      <c r="AB17" s="334"/>
      <c r="AC17" s="334"/>
      <c r="AD17" s="484"/>
      <c r="AE17" s="484">
        <f>IF(ISNUMBER(Datos!R17),Datos!R17," - ")</f>
        <v>46</v>
      </c>
      <c r="AF17" s="229" t="str">
        <f>IF(ISNUMBER(Datos!BV17),Datos!BV17," - ")</f>
        <v xml:space="preserve"> - </v>
      </c>
      <c r="AG17" s="225" t="str">
        <f>IF(ISNUMBER(Datos!DV17),Datos!DV17," - ")</f>
        <v xml:space="preserve"> - </v>
      </c>
      <c r="AH17" s="298"/>
      <c r="AI17" s="227"/>
      <c r="AJ17" s="225">
        <f>IF(ISNUMBER(Datos!M17),Datos!M17," - ")</f>
        <v>68</v>
      </c>
      <c r="AK17" s="229">
        <f>IF(ISNUMBER(Datos!N17),Datos!N17," - ")</f>
        <v>157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1.6235294117647057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1714</v>
      </c>
      <c r="G18" s="898">
        <f>SUBTOTAL(9,G15:G17)</f>
        <v>1785</v>
      </c>
      <c r="H18" s="932">
        <f>SUBTOTAL(9,H15:H17)</f>
        <v>0</v>
      </c>
      <c r="I18" s="911">
        <f>SUBTOTAL(9,I15:I17)</f>
        <v>0</v>
      </c>
      <c r="J18" s="867">
        <f>SUBTOTAL(9,J14:J17)</f>
        <v>0</v>
      </c>
      <c r="K18" s="932">
        <f t="shared" ref="K18:S18" si="4">SUBTOTAL(9,K15:K17)</f>
        <v>0</v>
      </c>
      <c r="L18" s="932">
        <f t="shared" si="4"/>
        <v>0</v>
      </c>
      <c r="M18" s="932">
        <f t="shared" si="4"/>
        <v>0</v>
      </c>
      <c r="N18" s="932">
        <f t="shared" si="4"/>
        <v>112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2929</v>
      </c>
      <c r="Z18" s="932">
        <f t="shared" si="5"/>
        <v>110</v>
      </c>
      <c r="AA18" s="932">
        <f t="shared" si="5"/>
        <v>1812</v>
      </c>
      <c r="AB18" s="932">
        <f t="shared" si="5"/>
        <v>0</v>
      </c>
      <c r="AC18" s="932">
        <f t="shared" si="5"/>
        <v>0</v>
      </c>
      <c r="AD18" s="932">
        <f t="shared" si="5"/>
        <v>0</v>
      </c>
      <c r="AE18" s="932">
        <f t="shared" si="5"/>
        <v>428</v>
      </c>
      <c r="AF18" s="932">
        <f t="shared" si="5"/>
        <v>0</v>
      </c>
      <c r="AG18" s="932">
        <f t="shared" si="5"/>
        <v>0</v>
      </c>
      <c r="AH18" s="932">
        <f t="shared" si="5"/>
        <v>0</v>
      </c>
      <c r="AI18" s="932">
        <f t="shared" si="5"/>
        <v>0</v>
      </c>
      <c r="AJ18" s="932">
        <f t="shared" si="5"/>
        <v>506</v>
      </c>
      <c r="AK18" s="932">
        <f t="shared" si="5"/>
        <v>1810</v>
      </c>
      <c r="AL18" s="932">
        <f t="shared" si="5"/>
        <v>0</v>
      </c>
      <c r="AM18" s="932">
        <f t="shared" si="5"/>
        <v>0</v>
      </c>
      <c r="AN18" s="932">
        <f t="shared" si="5"/>
        <v>0</v>
      </c>
      <c r="AO18" s="934">
        <f>IF(ISNUMBER(((NºAsuntos!I18/NºAsuntos!G18)*11)/factor_trimestre),((NºAsuntos!I18/NºAsuntos!G18)*11)/factor_trimestre," - ")</f>
        <v>1.8559235233868216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1821</v>
      </c>
      <c r="G19" s="820">
        <f t="shared" si="7"/>
        <v>1892</v>
      </c>
      <c r="H19" s="821">
        <f t="shared" si="7"/>
        <v>0</v>
      </c>
      <c r="I19" s="820">
        <f t="shared" si="7"/>
        <v>0</v>
      </c>
      <c r="J19" s="822">
        <f t="shared" si="7"/>
        <v>0</v>
      </c>
      <c r="K19" s="820">
        <f t="shared" si="7"/>
        <v>0</v>
      </c>
      <c r="L19" s="823">
        <f t="shared" si="7"/>
        <v>0</v>
      </c>
      <c r="M19" s="820">
        <f t="shared" si="7"/>
        <v>0</v>
      </c>
      <c r="N19" s="821">
        <f t="shared" si="7"/>
        <v>866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2948</v>
      </c>
      <c r="Z19" s="827">
        <f t="shared" si="8"/>
        <v>471</v>
      </c>
      <c r="AA19" s="828">
        <f t="shared" si="8"/>
        <v>1924</v>
      </c>
      <c r="AB19" s="828">
        <f t="shared" si="8"/>
        <v>0</v>
      </c>
      <c r="AC19" s="828">
        <f t="shared" si="8"/>
        <v>0</v>
      </c>
      <c r="AD19" s="829">
        <f t="shared" si="8"/>
        <v>0</v>
      </c>
      <c r="AE19" s="829">
        <f t="shared" si="8"/>
        <v>10789</v>
      </c>
      <c r="AF19" s="830">
        <f t="shared" si="8"/>
        <v>0</v>
      </c>
      <c r="AG19" s="831">
        <f t="shared" si="8"/>
        <v>0</v>
      </c>
      <c r="AH19" s="832">
        <f t="shared" si="8"/>
        <v>0</v>
      </c>
      <c r="AI19" s="830">
        <f t="shared" si="8"/>
        <v>0</v>
      </c>
      <c r="AJ19" s="820">
        <f t="shared" si="8"/>
        <v>1220</v>
      </c>
      <c r="AK19" s="820">
        <f t="shared" si="8"/>
        <v>3041</v>
      </c>
      <c r="AL19" s="820">
        <f t="shared" si="8"/>
        <v>0</v>
      </c>
      <c r="AM19" s="833">
        <f t="shared" si="8"/>
        <v>0</v>
      </c>
      <c r="AN19" s="823">
        <f>IF(ISNUMBER(Datos!K19/Datos!J19),Datos!K19/Datos!J19," - ")</f>
        <v>1.0937207122774133</v>
      </c>
      <c r="AO19" s="823">
        <f>IF(ISNUMBER(FIND("06",Criterios!A8,1)),(IF(ISNUMBER(((Datos!R19/Datos!Q19)*11)/factor_trimestre),((Datos!R19/Datos!Q19)*11)/factor_trimestre," - ")),(IF(ISNUMBER(((Datos!L19/Datos!K19)*11)/factor_trimestre),((Datos!L19/Datos!K19)*11)/factor_trimestre," - ")))</f>
        <v>5.1439588688946021</v>
      </c>
      <c r="AP19" s="834" t="str">
        <f>IF(ISNUMBER(Datos!CI19/Datos!CJ19),Datos!CI19/Datos!CJ19," - ")</f>
        <v xml:space="preserve"> - </v>
      </c>
      <c r="AQ19" s="834">
        <f>IF(OR(ISNUMBER(FIND("01",Criterios!A8,1)),ISNUMBER(FIND("02",Criterios!A8,1)),ISNUMBER(FIND("03",Criterios!A8,1)),ISNUMBER(FIND("04",Criterios!A8,1))),(J19-Y19+K19)/(F19-K19),(I19-Y19+K19)/(F19-K19))</f>
        <v>-1.6188907193849533</v>
      </c>
      <c r="AR19" s="834">
        <f>IF(ISNUMBER((Datos!P19-Datos!Q19+O19)/(Datos!R19-Datos!P19+Datos!Q19-O19)),(Datos!P19-Datos!Q19+O19)/(Datos!R19-Datos!P19+Datos!Q19-O19)," - ")</f>
        <v>3.8002693861843372E-2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630.66666666666663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898.41070786138789</v>
      </c>
      <c r="G21" s="552">
        <f>IF(ISNUMBER(STDEV(G8:G18)),STDEV(G8:G18),"-")</f>
        <v>838.75185046989122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316.74956308460116</v>
      </c>
      <c r="AK21" s="252"/>
      <c r="AL21" s="252">
        <f>IF(ISNUMBER(STDEV(AL8:AL18)),STDEV(AL8:AL18),"-")</f>
        <v>0</v>
      </c>
      <c r="AM21" s="254">
        <f>IF(ISNUMBER(STDEV(AM8:AM18)),STDEV(AM8:AM18),"-")</f>
        <v>0</v>
      </c>
      <c r="AN21" s="539">
        <f>IF(ISNUMBER(STDEV(AN8:AN18)),STDEV(AN8:AN18),"-")</f>
        <v>0</v>
      </c>
      <c r="AO21" s="540">
        <f>IF(ISNUMBER(STDEV(AO8:AO18)),STDEV(AO8:AO18),"-")</f>
        <v>6.2543138876663278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P9UZVhT8Tf3ZxK1mPKnvEtB6WNXSZSlUjwlE008EVeqI6rANMJ5oSQ+zelSL9l8ZHmhOEa2WWcNuZAhVLlSLRg==" saltValue="j03kcfD5vHL6AE2AidX1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621</v>
      </c>
      <c r="B4" s="1543" t="s">
        <v>725</v>
      </c>
      <c r="C4" s="1543" t="s">
        <v>622</v>
      </c>
      <c r="D4" s="1543" t="s">
        <v>683</v>
      </c>
      <c r="E4" s="1545" t="s">
        <v>684</v>
      </c>
      <c r="F4" s="1543" t="s">
        <v>623</v>
      </c>
      <c r="G4" s="1545" t="s">
        <v>452</v>
      </c>
      <c r="H4" s="1538" t="s">
        <v>624</v>
      </c>
      <c r="I4" s="1538" t="s">
        <v>625</v>
      </c>
      <c r="J4" s="1538" t="s">
        <v>626</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6l+ioyZe1io2rsEHI1JkGA1KoKCLkyXY7kq/eBcUrvxpBCoKC8cbePLLubZ9J/I4eXXDYWNZ77Z4mEDKVhgg==" saltValue="A+6pCCcglu6y6z+1ODbu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746</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tZsxjK3spFJWXBezvtHBGjYac4WUqvMdiHb3bx6hmZYznHSO7z/sfW6AglV7+1TtI8unXKyI82GqlFxlB+A5Q==" saltValue="r1ITu1Kk6G9TkPBw8XKQ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TORREVIEJA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552</v>
      </c>
      <c r="F5" s="1503" t="s">
        <v>406</v>
      </c>
      <c r="G5" s="1492" t="s">
        <v>128</v>
      </c>
      <c r="H5" s="1492" t="s">
        <v>582</v>
      </c>
      <c r="I5" s="1492" t="s">
        <v>553</v>
      </c>
      <c r="J5" s="1492" t="s">
        <v>656</v>
      </c>
      <c r="K5" s="1492" t="s">
        <v>554</v>
      </c>
      <c r="L5" s="1492" t="s">
        <v>522</v>
      </c>
      <c r="M5" s="1495" t="s">
        <v>580</v>
      </c>
      <c r="N5" s="1492" t="s">
        <v>711</v>
      </c>
      <c r="O5" s="1492" t="s">
        <v>671</v>
      </c>
      <c r="P5" s="1492" t="s">
        <v>168</v>
      </c>
      <c r="Q5" s="1498" t="s">
        <v>668</v>
      </c>
      <c r="R5" s="1498" t="s">
        <v>712</v>
      </c>
      <c r="S5" s="1492" t="s">
        <v>583</v>
      </c>
      <c r="T5" s="1498" t="s">
        <v>555</v>
      </c>
      <c r="U5" s="1498" t="s">
        <v>762</v>
      </c>
      <c r="V5" s="1498" t="s">
        <v>763</v>
      </c>
      <c r="W5" s="1509" t="s">
        <v>605</v>
      </c>
      <c r="X5" s="1527" t="s">
        <v>556</v>
      </c>
      <c r="Y5" s="1509" t="s">
        <v>557</v>
      </c>
      <c r="Z5" s="1509" t="s">
        <v>558</v>
      </c>
      <c r="AA5" s="1492" t="s">
        <v>672</v>
      </c>
      <c r="AB5" s="1492" t="s">
        <v>677</v>
      </c>
      <c r="AC5" s="1492" t="s">
        <v>182</v>
      </c>
      <c r="AD5" s="1515" t="s">
        <v>180</v>
      </c>
      <c r="AE5" s="1492" t="s">
        <v>673</v>
      </c>
      <c r="AF5" s="1518" t="s">
        <v>674</v>
      </c>
      <c r="AG5" s="1521" t="s">
        <v>531</v>
      </c>
      <c r="AH5" s="1492" t="s">
        <v>532</v>
      </c>
      <c r="AI5" s="1492" t="s">
        <v>603</v>
      </c>
      <c r="AJ5" s="1524" t="s">
        <v>604</v>
      </c>
      <c r="AK5" s="1521" t="s">
        <v>183</v>
      </c>
      <c r="AL5" s="1492" t="s">
        <v>562</v>
      </c>
      <c r="AM5" s="1492" t="s">
        <v>247</v>
      </c>
      <c r="AN5" s="1492" t="s">
        <v>248</v>
      </c>
      <c r="AO5" s="1492" t="s">
        <v>249</v>
      </c>
      <c r="AP5" s="1492" t="s">
        <v>563</v>
      </c>
      <c r="AQ5" s="1492" t="s">
        <v>250</v>
      </c>
      <c r="AR5" s="1492" t="s">
        <v>564</v>
      </c>
      <c r="AS5" s="1492" t="s">
        <v>565</v>
      </c>
      <c r="AT5" s="1492" t="s">
        <v>566</v>
      </c>
      <c r="AU5" s="1492" t="s">
        <v>591</v>
      </c>
      <c r="AV5" s="1492" t="s">
        <v>584</v>
      </c>
      <c r="AW5" s="1492" t="s">
        <v>830</v>
      </c>
      <c r="AX5" s="1492" t="s">
        <v>833</v>
      </c>
      <c r="AY5" s="1492" t="s">
        <v>835</v>
      </c>
      <c r="AZ5" s="1492" t="s">
        <v>585</v>
      </c>
      <c r="BA5" s="1492" t="s">
        <v>851</v>
      </c>
      <c r="BB5" s="1492" t="s">
        <v>567</v>
      </c>
      <c r="BC5" s="1492" t="s">
        <v>530</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0.23479118710950345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0.16602244056796939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fBdB+BV2ZWsdib8gHh+rP6XBKI38yUmnviZTxNr1D7BQmZ6kL432ZqzNioGM0vumdf1khdYyXVBmePEDlLhUVg==" saltValue="vY9gn/gTNoz3NYwQrP5E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RPblMVeCAKLes0SOw/J730/eAzY/I0mCzl7hsbjaPlDUSQR+K8kJZM6RIn4w+3SHzEYVWu0IB/3ZCgVS6oK0aw==" saltValue="Co2oqdAEe3sEqF9CrU3r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TORREVIEJA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740</v>
      </c>
      <c r="L5" s="1191" t="s">
        <v>786</v>
      </c>
      <c r="M5" s="1191" t="s">
        <v>847</v>
      </c>
      <c r="N5" s="1194" t="s">
        <v>739</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734</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8788</v>
      </c>
      <c r="D9" s="404">
        <f>IF(ISNUMBER(C9/Datos!BH9),C9/Datos!BH9," - ")</f>
        <v>1757.6</v>
      </c>
      <c r="E9" s="403">
        <f>IF(ISNUMBER(IF(J_V="SI",Datos!J9,Datos!J9+Datos!Z9)),IF(J_V="SI",Datos!J9,Datos!J9+Datos!Z9)," - ")</f>
        <v>2572</v>
      </c>
      <c r="F9" s="404">
        <f>IF(ISNUMBER(E9/B9),E9/B9," - ")</f>
        <v>514.4</v>
      </c>
      <c r="G9" s="403">
        <f>IF(ISNUMBER(IF(J_V="SI",Datos!K9,Datos!K9+Datos!AA9)),IF(J_V="SI",Datos!K9,Datos!K9+Datos!AA9)," - ")</f>
        <v>3022</v>
      </c>
      <c r="H9" s="404">
        <f>IF(ISNUMBER(G9/B9),G9/B9," - ")</f>
        <v>604.4</v>
      </c>
      <c r="I9" s="403">
        <f>IF(ISNUMBER(IF(J_V="SI",Datos!L9,Datos!L9+Datos!AB9)),IF(J_V="SI",Datos!L9,Datos!L9+Datos!AB9)," - ")</f>
        <v>8244</v>
      </c>
      <c r="J9" s="404">
        <f>IF(ISNUMBER(I9/B9),I9/B9," - ")</f>
        <v>1648.8</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107</v>
      </c>
      <c r="D10" s="404">
        <f>IF(ISNUMBER(C10/Datos!BH10),C10/Datos!BH10," - ")</f>
        <v>53.5</v>
      </c>
      <c r="E10" s="403">
        <f>IF(ISNUMBER(Datos!J10),Datos!J10," - ")</f>
        <v>24</v>
      </c>
      <c r="F10" s="404">
        <f>IF(ISNUMBER(E10/B10),E10/B10," - ")</f>
        <v>12</v>
      </c>
      <c r="G10" s="403">
        <f>IF(ISNUMBER(Datos!K10),Datos!K10," - ")</f>
        <v>19</v>
      </c>
      <c r="H10" s="404">
        <f>IF(ISNUMBER(G10/B10),G10/B10," - ")</f>
        <v>9.5</v>
      </c>
      <c r="I10" s="403">
        <f>IF(ISNUMBER(Datos!L10),Datos!L10," - ")</f>
        <v>112</v>
      </c>
      <c r="J10" s="404">
        <f>IF(ISNUMBER(I10/B10),I10/B10," - ")</f>
        <v>56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8895</v>
      </c>
      <c r="D13" s="850" t="str">
        <f>IF(ISNUMBER(C13/Datos!BI13),C13/Datos!BI13," - ")</f>
        <v xml:space="preserve"> - </v>
      </c>
      <c r="E13" s="849">
        <f>SUBTOTAL(9,E8:E12)</f>
        <v>2596</v>
      </c>
      <c r="F13" s="850">
        <f>IF(ISNUMBER(E13/B13),E13/B13," - ")</f>
        <v>432.66666666666669</v>
      </c>
      <c r="G13" s="849">
        <f>SUBTOTAL(9,G8:G12)</f>
        <v>3041</v>
      </c>
      <c r="H13" s="850">
        <f>IF(ISNUMBER(G13/B13),G13/B13," - ")</f>
        <v>506.83333333333331</v>
      </c>
      <c r="I13" s="849">
        <f>SUBTOTAL(9,I8:I12)</f>
        <v>8356</v>
      </c>
      <c r="J13" s="850">
        <f>IF(ISNUMBER(I13/B13),I13/B13," - ")</f>
        <v>1392.6666666666667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1635</v>
      </c>
      <c r="D15" s="404">
        <f>IF(ISNUMBER(C15/Datos!BH15),C15/Datos!BH15," - ")</f>
        <v>408.75</v>
      </c>
      <c r="E15" s="403">
        <f>IF(ISNUMBER(IF(D_I="SI",Datos!J15,Datos!J15+Datos!AD15)),IF(D_I="SI",Datos!J15,Datos!J15+Datos!AD15)," - ")</f>
        <v>2634</v>
      </c>
      <c r="F15" s="404">
        <f>IF(ISNUMBER(E15/B15),E15/B15," - ")</f>
        <v>658.5</v>
      </c>
      <c r="G15" s="403">
        <f>IF(ISNUMBER(IF(D_I="SI",Datos!K15,Datos!K15+Datos!AE15)),IF(D_I="SI",Datos!K15,Datos!K15+Datos!AE15)," - ")</f>
        <v>2669</v>
      </c>
      <c r="H15" s="404">
        <f>IF(ISNUMBER(G15/B15),G15/B15," - ")</f>
        <v>667.25</v>
      </c>
      <c r="I15" s="403">
        <f>IF(ISNUMBER(IF(D_I="SI",Datos!L15,Datos!L15+Datos!AF15)),IF(D_I="SI",Datos!L15,Datos!L15+Datos!AF15)," - ")</f>
        <v>1674</v>
      </c>
      <c r="J15" s="404">
        <f>IF(ISNUMBER(I15/B15),I15/B15," - ")</f>
        <v>418.5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3</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5</v>
      </c>
      <c r="H16" s="404" t="str">
        <f>IF(ISNUMBER(G16/B16),G16/B16," - ")</f>
        <v xml:space="preserve"> - </v>
      </c>
      <c r="I16" s="403">
        <f>IF(ISNUMBER(IF(D_I="SI",Datos!L16,Datos!L16+Datos!AF16)),IF(D_I="SI",Datos!L16,Datos!L16+Datos!AF16)," - ")</f>
        <v>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147</v>
      </c>
      <c r="D17" s="404">
        <f>IF(ISNUMBER(C17/Datos!BH17),C17/Datos!BH17," - ")</f>
        <v>73.5</v>
      </c>
      <c r="E17" s="403">
        <f>IF(ISNUMBER(IF(D_I="SI",Datos!J17,Datos!J17+Datos!AD17)),IF(D_I="SI",Datos!J17,Datos!J17+Datos!AD17)," - ")</f>
        <v>246</v>
      </c>
      <c r="F17" s="404">
        <f>IF(ISNUMBER(E17/B17),E17/B17," - ")</f>
        <v>123</v>
      </c>
      <c r="G17" s="403">
        <f>IF(ISNUMBER(IF(D_I="SI",Datos!K17,Datos!K17+Datos!AE17)),IF(D_I="SI",Datos!K17,Datos!K17+Datos!AE17)," - ")</f>
        <v>255</v>
      </c>
      <c r="H17" s="404">
        <f>IF(ISNUMBER(G17/B17),G17/B17," - ")</f>
        <v>127.5</v>
      </c>
      <c r="I17" s="403">
        <f>IF(ISNUMBER(IF(D_I="SI",Datos!L17,Datos!L17+Datos!AF17)),IF(D_I="SI",Datos!L17,Datos!L17+Datos!AF17)," - ")</f>
        <v>138</v>
      </c>
      <c r="J17" s="404">
        <f>IF(ISNUMBER(I17/B17),I17/B17," - ")</f>
        <v>69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1785</v>
      </c>
      <c r="D18" s="850" t="str">
        <f>IF(ISNUMBER(C18/Datos!BI18),C18/Datos!BI18," - ")</f>
        <v xml:space="preserve"> - </v>
      </c>
      <c r="E18" s="849">
        <f>SUBTOTAL(9,E14:E17)</f>
        <v>2880</v>
      </c>
      <c r="F18" s="850">
        <f>IF(ISNUMBER(E18/B18),E18/B18," - ")</f>
        <v>576</v>
      </c>
      <c r="G18" s="849">
        <f>SUBTOTAL(9,G14:G17)</f>
        <v>2929</v>
      </c>
      <c r="H18" s="850">
        <f>IF(ISNUMBER(G18/B18),G18/B18," - ")</f>
        <v>585.79999999999995</v>
      </c>
      <c r="I18" s="849">
        <f>SUBTOTAL(9,I14:I17)</f>
        <v>1812</v>
      </c>
      <c r="J18" s="850">
        <f>IF(ISNUMBER(I18/B18),I18/B18," - ")</f>
        <v>362.4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10680</v>
      </c>
      <c r="D19" s="795" t="str">
        <f>IF(ISNUMBER(C19/Datos!BI19),C19/Datos!BI19," - ")</f>
        <v xml:space="preserve"> - </v>
      </c>
      <c r="E19" s="794">
        <f>SUBTOTAL(9,E9:E18)</f>
        <v>5476</v>
      </c>
      <c r="F19" s="795">
        <f>IF(ISNUMBER(E19/B19),E19/B19," - ")</f>
        <v>547.6</v>
      </c>
      <c r="G19" s="794">
        <f>SUBTOTAL(9,G9:G18)</f>
        <v>5970</v>
      </c>
      <c r="H19" s="795">
        <f>IF(ISNUMBER(G19/B19),G19/B19," - ")</f>
        <v>597</v>
      </c>
      <c r="I19" s="794">
        <f>SUBTOTAL(9,I9:I18)</f>
        <v>10168</v>
      </c>
      <c r="J19" s="795">
        <f>IF(ISNUMBER(I19/B19),I19/B19," - ")</f>
        <v>1016.8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hncqBniUWsJDls3uBG3qcu95JaUUwVpTaiJy0NgvoQqWBX83FcSAuBL193sWzTkdk+9AcUQWncmMKpbCRnHVlQ==" saltValue="g/7aomEmVVdRPaHHDTJG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TORREVIEJA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552</v>
      </c>
      <c r="F5" s="1503" t="s">
        <v>406</v>
      </c>
      <c r="G5" s="1492" t="s">
        <v>128</v>
      </c>
      <c r="H5" s="1492" t="s">
        <v>685</v>
      </c>
      <c r="I5" s="1492" t="s">
        <v>686</v>
      </c>
      <c r="J5" s="1492" t="s">
        <v>689</v>
      </c>
      <c r="K5" s="1492" t="s">
        <v>690</v>
      </c>
      <c r="L5" s="1492" t="s">
        <v>580</v>
      </c>
      <c r="M5" s="1492" t="s">
        <v>711</v>
      </c>
      <c r="N5" s="1492" t="s">
        <v>691</v>
      </c>
      <c r="O5" s="1492" t="s">
        <v>687</v>
      </c>
      <c r="P5" s="1492" t="s">
        <v>168</v>
      </c>
      <c r="Q5" s="1492" t="s">
        <v>668</v>
      </c>
      <c r="R5" s="1492" t="s">
        <v>712</v>
      </c>
      <c r="S5" s="1492" t="str">
        <f>"Ingreso Computable 2003" &amp; IF(OR(EXACT(LEFT(boletin,2),"04"),EXACT(LEFT(boletin,2),"14"),EXACT(LEFT(boletin,2),"17"))," (Civil + Penal)","")</f>
        <v>Ingreso Computable 2003</v>
      </c>
      <c r="T5" s="1492" t="s">
        <v>688</v>
      </c>
      <c r="U5" s="1498" t="str">
        <f>"% Ingreso Computable 2003" &amp; IF(OR(EXACT(LEFT(boletin,2),"04"),EXACT(LEFT(boletin,2),"14"),EXACT(LEFT(boletin,2),"17"))," (Civil + Penal)","")</f>
        <v>% Ingreso Computable 2003</v>
      </c>
      <c r="V5" s="1498" t="s">
        <v>692</v>
      </c>
      <c r="W5" s="1492" t="s">
        <v>756</v>
      </c>
      <c r="X5" s="1492" t="s">
        <v>757</v>
      </c>
      <c r="Y5" s="1512"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2" t="s">
        <v>697</v>
      </c>
      <c r="AG5" s="1492" t="s">
        <v>698</v>
      </c>
      <c r="AH5" s="1492" t="s">
        <v>699</v>
      </c>
      <c r="AI5" s="1492" t="s">
        <v>700</v>
      </c>
      <c r="AJ5" s="1492" t="s">
        <v>182</v>
      </c>
      <c r="AK5" s="1521" t="s">
        <v>531</v>
      </c>
      <c r="AL5" s="1521" t="s">
        <v>183</v>
      </c>
      <c r="AM5" s="1492" t="s">
        <v>562</v>
      </c>
      <c r="AN5" s="1492" t="s">
        <v>247</v>
      </c>
      <c r="AO5" s="1492" t="s">
        <v>248</v>
      </c>
      <c r="AP5" s="1492" t="s">
        <v>701</v>
      </c>
      <c r="AQ5" s="1492" t="s">
        <v>702</v>
      </c>
      <c r="AR5" s="1492" t="s">
        <v>703</v>
      </c>
      <c r="AS5" s="1492" t="s">
        <v>704</v>
      </c>
      <c r="AT5" s="1492" t="s">
        <v>705</v>
      </c>
      <c r="AU5" s="1492" t="s">
        <v>706</v>
      </c>
      <c r="AV5" s="1492" t="s">
        <v>707</v>
      </c>
      <c r="AW5" s="1492" t="s">
        <v>708</v>
      </c>
      <c r="AX5" s="1492" t="s">
        <v>830</v>
      </c>
      <c r="AY5" s="1492" t="s">
        <v>833</v>
      </c>
      <c r="AZ5" s="1492" t="s">
        <v>709</v>
      </c>
      <c r="BA5" s="1492" t="s">
        <v>710</v>
      </c>
      <c r="BB5" s="1492" t="s">
        <v>530</v>
      </c>
      <c r="BC5" s="1325" t="s">
        <v>717</v>
      </c>
      <c r="BD5" s="1325" t="s">
        <v>718</v>
      </c>
      <c r="BE5" s="1503" t="s">
        <v>719</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107</v>
      </c>
      <c r="G10" s="684">
        <f>IF(ISNUMBER(Datos!I10),Datos!I10," - ")</f>
        <v>107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19</v>
      </c>
      <c r="AC10" s="683" t="str">
        <f>IF(ISNUMBER(IF(D_I="SI",DatosP!K17,DatosP!K17+DatosP!AE17)),IF(D_I="SI",DatosP!K17,DatosP!K17+DatosP!AE17)," - ")</f>
        <v xml:space="preserve"> - </v>
      </c>
      <c r="AD10" s="685"/>
      <c r="AE10" s="685"/>
      <c r="AF10" s="688">
        <f>IF(ISNUMBER(Datos!L10),Datos!L10,"-")</f>
        <v>112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17.684210526315788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107</v>
      </c>
      <c r="G13" s="938">
        <f t="shared" si="0"/>
        <v>107</v>
      </c>
      <c r="H13" s="938">
        <f t="shared" si="0"/>
        <v>0</v>
      </c>
      <c r="I13" s="940">
        <f t="shared" si="0"/>
        <v>0</v>
      </c>
      <c r="J13" s="939">
        <f t="shared" si="0"/>
        <v>0</v>
      </c>
      <c r="K13" s="939">
        <f t="shared" si="0"/>
        <v>0</v>
      </c>
      <c r="L13" s="941">
        <f t="shared" si="0"/>
        <v>0</v>
      </c>
      <c r="M13" s="941">
        <f t="shared" si="0"/>
        <v>0</v>
      </c>
      <c r="N13" s="939">
        <f t="shared" si="0"/>
        <v>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19</v>
      </c>
      <c r="AC13" s="939">
        <f t="shared" si="1"/>
        <v>0</v>
      </c>
      <c r="AD13" s="939">
        <f t="shared" si="1"/>
        <v>0</v>
      </c>
      <c r="AE13" s="939">
        <f t="shared" si="1"/>
        <v>0</v>
      </c>
      <c r="AF13" s="939">
        <f t="shared" si="1"/>
        <v>112</v>
      </c>
      <c r="AG13" s="939">
        <f t="shared" si="1"/>
        <v>0</v>
      </c>
      <c r="AH13" s="939">
        <f t="shared" si="1"/>
        <v>0</v>
      </c>
      <c r="AI13" s="939">
        <f t="shared" si="1"/>
        <v>0</v>
      </c>
      <c r="AJ13" s="939">
        <f t="shared" si="1"/>
        <v>0</v>
      </c>
      <c r="AK13" s="939">
        <f t="shared" si="1"/>
        <v>0</v>
      </c>
      <c r="AL13" s="939">
        <f t="shared" si="1"/>
        <v>14</v>
      </c>
      <c r="AM13" s="939">
        <f t="shared" si="1"/>
        <v>4</v>
      </c>
      <c r="AN13" s="939">
        <f t="shared" si="1"/>
        <v>0</v>
      </c>
      <c r="AO13" s="939">
        <f t="shared" si="1"/>
        <v>0</v>
      </c>
      <c r="AP13" s="944">
        <f>IF(ISNUMBER(((Datos!L13/Datos!K13)*11)/factor_trimestre),((Datos!L13/Datos!K13)*11)/factor_trimestre," - ")</f>
        <v>8.4580178940123876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-0.17757009345794392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1.8559235233868216</v>
      </c>
      <c r="AQ18" s="944">
        <f>IF(ISNUMBER(((Datos!M18/Datos!L18)*11)/factor_trimestre),((Datos!M18/Datos!L18)*11)/factor_trimestre," - ")</f>
        <v>0.83774834437086099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4.6948356807511738E-3</v>
      </c>
      <c r="AW18" s="946">
        <f>IF(ISNUMBER((Datos!Q18-Datos!R18)/(Datos!S18-Datos!Q18+Datos!R18)),(Datos!Q18-Datos!R18)/(Datos!S18-Datos!Q18+Datos!R18)," - ")</f>
        <v>-0.18716892289582107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107</v>
      </c>
      <c r="G19" s="951">
        <f t="shared" si="4"/>
        <v>107</v>
      </c>
      <c r="H19" s="951">
        <f t="shared" si="4"/>
        <v>0</v>
      </c>
      <c r="I19" s="952">
        <f t="shared" si="4"/>
        <v>0</v>
      </c>
      <c r="J19" s="953">
        <f t="shared" si="4"/>
        <v>0</v>
      </c>
      <c r="K19" s="953">
        <f t="shared" si="4"/>
        <v>0</v>
      </c>
      <c r="L19" s="953">
        <f t="shared" si="4"/>
        <v>0</v>
      </c>
      <c r="M19" s="953">
        <f t="shared" si="4"/>
        <v>0</v>
      </c>
      <c r="N19" s="952">
        <f t="shared" si="4"/>
        <v>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19</v>
      </c>
      <c r="AC19" s="957">
        <f t="shared" si="5"/>
        <v>0</v>
      </c>
      <c r="AD19" s="957">
        <f t="shared" si="5"/>
        <v>0</v>
      </c>
      <c r="AE19" s="957">
        <f t="shared" si="5"/>
        <v>0</v>
      </c>
      <c r="AF19" s="958">
        <f t="shared" si="5"/>
        <v>112</v>
      </c>
      <c r="AG19" s="958">
        <f t="shared" si="5"/>
        <v>0</v>
      </c>
      <c r="AH19" s="958">
        <f t="shared" si="5"/>
        <v>0</v>
      </c>
      <c r="AI19" s="958">
        <f t="shared" si="5"/>
        <v>0</v>
      </c>
      <c r="AJ19" s="959">
        <f t="shared" si="5"/>
        <v>0</v>
      </c>
      <c r="AK19" s="959">
        <f t="shared" si="5"/>
        <v>0</v>
      </c>
      <c r="AL19" s="951">
        <f t="shared" si="5"/>
        <v>14</v>
      </c>
      <c r="AM19" s="951">
        <f t="shared" si="5"/>
        <v>4</v>
      </c>
      <c r="AN19" s="951">
        <f t="shared" si="5"/>
        <v>0</v>
      </c>
      <c r="AO19" s="951">
        <f t="shared" si="5"/>
        <v>0</v>
      </c>
      <c r="AP19" s="951">
        <f>IF(ISNUMBER(((Datos!L19/Datos!K19)*11)/factor_trimestre),((Datos!L19/Datos!K19)*11)/factor_trimestre," - ")</f>
        <v>5.1439588688946021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-0.17757009345794392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3.8002693861843372E-2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71.333333333333329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61.776478803289955</v>
      </c>
      <c r="G21" s="737">
        <f>IF(ISNUMBER(STDEV(G8:G18)),STDEV(G8:G18),"-")</f>
        <v>61.776478803289955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10.96965511460289</v>
      </c>
      <c r="AC21" s="738">
        <f>IF(ISNUMBER(STDEV(AC8:AC18)),STDEV(AC8:AC18),"-")</f>
        <v>0</v>
      </c>
      <c r="AD21" s="741"/>
      <c r="AE21" s="741"/>
      <c r="AF21" s="741"/>
      <c r="AG21" s="741"/>
      <c r="AH21" s="741"/>
      <c r="AI21" s="741"/>
      <c r="AJ21" s="742">
        <f>IF(ISNUMBER(STDEV(AJ8:AJ18)),STDEV(AJ8:AJ18),"-")</f>
        <v>0</v>
      </c>
      <c r="AK21" s="744"/>
      <c r="AL21" s="736">
        <f>IF(ISNUMBER(STDEV(AL8:AL18)),STDEV(AL8:AL18),"-")</f>
        <v>8.0829037686547611</v>
      </c>
      <c r="AM21" s="736"/>
      <c r="AN21" s="736">
        <f>IF(ISNUMBER(STDEV(AN8:AN18)),STDEV(AN8:AN18),"-")</f>
        <v>0</v>
      </c>
      <c r="AO21" s="742">
        <f>IF(ISNUMBER(STDEV(AO8:AO18)),STDEV(AO8:AO18),"-")</f>
        <v>0</v>
      </c>
      <c r="AP21" s="779">
        <f>IF(ISNUMBER(STDEV(AP8:AP18)),STDEV(AP8:AP18),"-")</f>
        <v>7.9503139352491949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68R0kiOCppKrCDaZKfO9eLe+ZEyc++BShmkTbXE1AsPr0UJS23zktbVVvctHGon+PFAu/iKCPs0AknbgL+3pDQ==" saltValue="8bTcLMlSUmvne0w1u80p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TORREVIEJA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xWo4Ep28/qdeM5ndVU0AMMEARznoDtniA9KR+l54BK6xObZGd9Mbs4mHjKh2M6Vtvj5U6b3kQ/ORHlWGz33Jfg==" saltValue="zDjl8v6fQbua8wChAnG6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TORREVIEJA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700</v>
      </c>
      <c r="E9" s="404">
        <f t="shared" ref="E9:E13" si="0">IF(ISNUMBER(D9/B9),D9/B9," - ")</f>
        <v>140</v>
      </c>
      <c r="F9" s="403">
        <f>IF(ISNUMBER(Datos!N9),Datos!N9," - ")</f>
        <v>1227</v>
      </c>
      <c r="G9" s="404">
        <f t="shared" ref="G9:G13" si="1">IF(ISNUMBER(F9/B9),F9/B9," - ")</f>
        <v>245.4</v>
      </c>
      <c r="H9" s="403">
        <f>IF(ISNUMBER(Datos!O9),Datos!O9," - ")</f>
        <v>1376</v>
      </c>
      <c r="I9" s="404">
        <f>IF(ISNUMBER(H9/B9),H9/B9," - ")</f>
        <v>275.2</v>
      </c>
      <c r="BZ9" s="1186">
        <f>Datos!EZ9</f>
        <v>0</v>
      </c>
    </row>
    <row r="10" spans="1:78">
      <c r="A10" s="402" t="str">
        <f>Datos!A10</f>
        <v>Jdos. Violencia contra la mujer</v>
      </c>
      <c r="B10" s="427">
        <f>Datos!AO10</f>
        <v>2</v>
      </c>
      <c r="C10" s="410">
        <f>Datos!AQ10</f>
        <v>1</v>
      </c>
      <c r="D10" s="403">
        <f>IF(ISNUMBER(Datos!M10),Datos!M10," - ")</f>
        <v>14</v>
      </c>
      <c r="E10" s="404">
        <f>IF(ISNUMBER(D10/B10),D10/B10," - ")</f>
        <v>7</v>
      </c>
      <c r="F10" s="403">
        <f>IF(ISNUMBER(Datos!N10),Datos!N10," - ")</f>
        <v>4</v>
      </c>
      <c r="G10" s="404">
        <f>IF(ISNUMBER(F10/B10),F10/B10," - ")</f>
        <v>2</v>
      </c>
      <c r="H10" s="403">
        <f>IF(ISNUMBER(Datos!O10),Datos!O10," - ")</f>
        <v>3</v>
      </c>
      <c r="I10" s="404">
        <f t="shared" ref="I10:I12" si="2">IF(ISNUMBER(H10/B10),H10/B10," - ")</f>
        <v>1.5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6</v>
      </c>
      <c r="C13" s="851">
        <f>Datos!AR13</f>
        <v>6</v>
      </c>
      <c r="D13" s="849">
        <f>SUBTOTAL(9,D9:D12)</f>
        <v>714</v>
      </c>
      <c r="E13" s="850">
        <f t="shared" si="0"/>
        <v>119</v>
      </c>
      <c r="F13" s="849">
        <f>SUBTOTAL(9,F9:F12)</f>
        <v>1231</v>
      </c>
      <c r="G13" s="850">
        <f t="shared" si="1"/>
        <v>205.16666666666666</v>
      </c>
      <c r="H13" s="849">
        <f>SUBTOTAL(9,H9:H12)</f>
        <v>1379</v>
      </c>
      <c r="I13" s="850">
        <f>IF(ISNUMBER(H13/B13),H13/B13," - ")</f>
        <v>229.83333333333334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438</v>
      </c>
      <c r="E15" s="404">
        <f t="shared" ref="E15:E18" si="3">IF(ISNUMBER(D15/B15),D15/B15," - ")</f>
        <v>109.5</v>
      </c>
      <c r="F15" s="403">
        <f>IF(ISNUMBER(Datos!N15),Datos!N15," - ")</f>
        <v>1650</v>
      </c>
      <c r="G15" s="404">
        <f t="shared" ref="G15:G18" si="4">IF(ISNUMBER(F15/B15),F15/B15," - ")</f>
        <v>412.5</v>
      </c>
      <c r="H15" s="403">
        <f>IF(ISNUMBER(Datos!O15),Datos!O15," - ")</f>
        <v>19</v>
      </c>
      <c r="I15" s="404">
        <f t="shared" ref="I15:I17" si="5">IF(ISNUMBER(H15/B15),H15/B15," - ")</f>
        <v>4.75</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3</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2</v>
      </c>
      <c r="C17" s="428">
        <f>Datos!AQ17</f>
        <v>1</v>
      </c>
      <c r="D17" s="403">
        <f>IF(ISNUMBER(Datos!M17),Datos!M17," - ")</f>
        <v>68</v>
      </c>
      <c r="E17" s="404">
        <f>IF(ISNUMBER(D17/B17),D17/B17," - ")</f>
        <v>34</v>
      </c>
      <c r="F17" s="403">
        <f>IF(ISNUMBER(Datos!N17),Datos!N17," - ")</f>
        <v>157</v>
      </c>
      <c r="G17" s="404">
        <f>IF(ISNUMBER(F17/B17),F17/B17," - ")</f>
        <v>78.5</v>
      </c>
      <c r="H17" s="403">
        <f>IF(ISNUMBER(Datos!O17),Datos!O17," - ")</f>
        <v>2</v>
      </c>
      <c r="I17" s="404">
        <f t="shared" si="5"/>
        <v>1</v>
      </c>
      <c r="BZ17" s="1186">
        <f>Datos!EZ17</f>
        <v>0</v>
      </c>
    </row>
    <row r="18" spans="1:78" ht="14.25" thickTop="1" thickBot="1">
      <c r="A18" s="848" t="str">
        <f>Datos!A18</f>
        <v>TOTAL</v>
      </c>
      <c r="B18" s="849">
        <f>Datos!AP18</f>
        <v>5</v>
      </c>
      <c r="C18" s="851">
        <f>Datos!AR18</f>
        <v>5</v>
      </c>
      <c r="D18" s="849">
        <f>SUBTOTAL(9,D15:D17)</f>
        <v>506</v>
      </c>
      <c r="E18" s="850">
        <f t="shared" si="3"/>
        <v>101.2</v>
      </c>
      <c r="F18" s="849">
        <f>SUBTOTAL(9,F15:F17)</f>
        <v>1810</v>
      </c>
      <c r="G18" s="850">
        <f t="shared" si="4"/>
        <v>362</v>
      </c>
      <c r="H18" s="849">
        <f>SUBTOTAL(9,H15:H17)</f>
        <v>21</v>
      </c>
      <c r="I18" s="850">
        <f>IF(ISNUMBER(H18/B18),H18/B18," - ")</f>
        <v>4.2</v>
      </c>
      <c r="BZ18" s="1186"/>
    </row>
    <row r="19" spans="1:78" ht="14.25" thickTop="1" thickBot="1">
      <c r="A19" s="793" t="str">
        <f>Datos!A19</f>
        <v>TOTAL JURISDICCIONES</v>
      </c>
      <c r="B19" s="794">
        <f>Datos!AP19</f>
        <v>10</v>
      </c>
      <c r="C19" s="794">
        <f>Datos!AR19</f>
        <v>10</v>
      </c>
      <c r="D19" s="794">
        <f>SUBTOTAL(9,D8:D18)</f>
        <v>1220</v>
      </c>
      <c r="E19" s="795">
        <f>IF(ISNUMBER(D19/B19),D19/B19," - ")</f>
        <v>122</v>
      </c>
      <c r="F19" s="794">
        <f>SUBTOTAL(9,F8:F18)</f>
        <v>3041</v>
      </c>
      <c r="G19" s="795">
        <f>IF(ISNUMBER(F19/B19),F19/B19," - ")</f>
        <v>304.10000000000002</v>
      </c>
      <c r="H19" s="794">
        <f>SUBTOTAL(9,H8:H18)</f>
        <v>1400</v>
      </c>
      <c r="I19" s="795">
        <f>IF(ISNUMBER(H19/B19),H19/B19," - ")</f>
        <v>140</v>
      </c>
    </row>
    <row r="22" spans="1:78">
      <c r="A22" s="391" t="str">
        <f>Criterios!A4</f>
        <v>Fecha Informe: 24 sep. 2024</v>
      </c>
    </row>
    <row r="27" spans="1:78">
      <c r="A27" s="414"/>
    </row>
  </sheetData>
  <sheetProtection algorithmName="SHA-512" hashValue="Hg7RneLBAclLV8DCzsB05MTNXPH3A7oSY3nNynDhqLSHQgHYEMCBFF0aZVQHnakSHsz7pAf4ZwRdh9O7cW+oEA==" saltValue="LLXiJ119m8JNR6b1fCQS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TORREVIEJA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747</v>
      </c>
      <c r="C9" s="434">
        <f>IF(ISNUMBER(Datos!Q9),Datos!Q9," - ")</f>
        <v>359</v>
      </c>
      <c r="D9" s="408">
        <f>IF(ISNUMBER(Datos!R9),Datos!R9," - ")</f>
        <v>10279</v>
      </c>
    </row>
    <row r="10" spans="1:4">
      <c r="A10" s="402" t="str">
        <f>Datos!A10</f>
        <v>Jdos. Violencia contra la mujer</v>
      </c>
      <c r="B10" s="433">
        <f>IF(ISNUMBER(Datos!P10),Datos!P10," - ")</f>
        <v>7</v>
      </c>
      <c r="C10" s="434">
        <f>IF(ISNUMBER(Datos!Q10),Datos!Q10," - ")</f>
        <v>2</v>
      </c>
      <c r="D10" s="408">
        <f>IF(ISNUMBER(Datos!R10),Datos!R10," - ")</f>
        <v>82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754</v>
      </c>
      <c r="C13" s="853">
        <f>SUBTOTAL(9,C9:C12)</f>
        <v>361</v>
      </c>
      <c r="D13" s="851">
        <f>SUBTOTAL(9,D9:D12)</f>
        <v>10361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110</v>
      </c>
      <c r="C15" s="434">
        <f>IF(ISNUMBER(Datos!Q15),Datos!Q15," - ")</f>
        <v>105</v>
      </c>
      <c r="D15" s="408">
        <f>IF(ISNUMBER(Datos!R15),Datos!R15," - ")</f>
        <v>381</v>
      </c>
    </row>
    <row r="16" spans="1:4">
      <c r="A16" s="402" t="str">
        <f>Datos!A16</f>
        <v xml:space="preserve">Jdos. 1ª Instª. e Instr.                        </v>
      </c>
      <c r="B16" s="433">
        <f>IF(ISNUMBER(Datos!P16),Datos!P16," - ")</f>
        <v>0</v>
      </c>
      <c r="C16" s="434">
        <f>IF(ISNUMBER(Datos!Q16),Datos!Q16," - ")</f>
        <v>3</v>
      </c>
      <c r="D16" s="408">
        <f>IF(ISNUMBER(Datos!R16),Datos!R16," - ")</f>
        <v>1</v>
      </c>
    </row>
    <row r="17" spans="1:4" ht="13.5" thickBot="1">
      <c r="A17" s="402" t="str">
        <f>Datos!A17</f>
        <v>Jdos. Violencia contra la mujer</v>
      </c>
      <c r="B17" s="433">
        <f>IF(ISNUMBER(Datos!P17),Datos!P17," - ")</f>
        <v>2</v>
      </c>
      <c r="C17" s="434">
        <f>IF(ISNUMBER(Datos!Q17),Datos!Q17," - ")</f>
        <v>2</v>
      </c>
      <c r="D17" s="408">
        <f>IF(ISNUMBER(Datos!R17),Datos!R17," - ")</f>
        <v>46</v>
      </c>
    </row>
    <row r="18" spans="1:4" ht="14.25" thickTop="1" thickBot="1">
      <c r="A18" s="848" t="str">
        <f>Datos!A18</f>
        <v>TOTAL</v>
      </c>
      <c r="B18" s="849">
        <f>SUBTOTAL(9,B15:B17)</f>
        <v>112</v>
      </c>
      <c r="C18" s="853">
        <f>SUBTOTAL(9,C15:C17)</f>
        <v>110</v>
      </c>
      <c r="D18" s="851">
        <f>SUBTOTAL(9,D15:D17)</f>
        <v>428</v>
      </c>
    </row>
    <row r="19" spans="1:4" ht="16.5" customHeight="1" thickTop="1" thickBot="1">
      <c r="A19" s="793" t="str">
        <f>Datos!A19</f>
        <v>TOTAL JURISDICCIONES</v>
      </c>
      <c r="B19" s="798">
        <f>SUBTOTAL(9,B8:B18)</f>
        <v>866</v>
      </c>
      <c r="C19" s="799">
        <f>SUBTOTAL(9,C8:C18)</f>
        <v>471</v>
      </c>
      <c r="D19" s="800">
        <f>SUBTOTAL(9,D8:D18)</f>
        <v>10789</v>
      </c>
    </row>
    <row r="20" spans="1:4" ht="7.5" customHeight="1"/>
    <row r="21" spans="1:4" ht="6" customHeight="1"/>
    <row r="22" spans="1:4">
      <c r="A22" s="391" t="str">
        <f>Criterios!A4</f>
        <v>Fecha Informe: 24 sep. 2024</v>
      </c>
    </row>
    <row r="27" spans="1:4">
      <c r="A27" s="414"/>
    </row>
  </sheetData>
  <sheetProtection algorithmName="SHA-512" hashValue="5i1A7RpE/kx6Q4cjSye9GuDF21+ZTS7z9vwXkn36UojlpjtU/w9aAXwnG7CfHFF7nRP3N/Fcs2B9WBGSnhp1LQ==" saltValue="WGM/51Op4h31N/ZTGPEr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TORREVIEJA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2.9642647920328061E-2</v>
      </c>
      <c r="C9" s="456">
        <f>IF(ISNUMBER(
   IF(J_V="SI",(Datos!J9-Datos!T9)/Datos!T9,(Datos!J9+Datos!Z9-(Datos!T9+Datos!AH9))/(Datos!T9+Datos!AH9))
     ),IF(J_V="SI",(Datos!J9-Datos!T9)/Datos!T9,(Datos!J9+Datos!Z9-(Datos!T9+Datos!AH9))/(Datos!T9+Datos!AH9))," - ")</f>
        <v>5.6262833675564679E-2</v>
      </c>
      <c r="D9" s="456">
        <f>IF(ISNUMBER(
   IF(J_V="SI",(Datos!K9-Datos!U9)/Datos!U9,(Datos!K9+Datos!AA9-(Datos!U9+Datos!AI9))/(Datos!U9+Datos!AI9))
     ),IF(J_V="SI",(Datos!K9-Datos!U9)/Datos!U9,(Datos!K9+Datos!AA9-(Datos!U9+Datos!AI9))/(Datos!U9+Datos!AI9))," - ")</f>
        <v>0.14253308128544423</v>
      </c>
      <c r="E9" s="456">
        <f>IF(ISNUMBER(
   IF(J_V="SI",(Datos!L9-Datos!V9)/Datos!V9,(Datos!L9+Datos!AB9-(Datos!V9+Datos!AJ9))/(Datos!V9+Datos!AJ9))
     ),IF(J_V="SI",(Datos!L9-Datos!V9)/Datos!V9,(Datos!L9+Datos!AB9-(Datos!V9+Datos!AJ9))/(Datos!V9+Datos!AJ9))," - ")</f>
        <v>-3.1598731352049804E-2</v>
      </c>
      <c r="F9" s="456">
        <f>IF(ISNUMBER((Datos!M9-Datos!W9)/Datos!W9),(Datos!M9-Datos!W9)/Datos!W9," - ")</f>
        <v>0.4613778705636743</v>
      </c>
      <c r="G9" s="457">
        <f>IF(ISNUMBER((Datos!N9-Datos!X9)/Datos!X9),(Datos!N9-Datos!X9)/Datos!X9," - ")</f>
        <v>0.14139534883720931</v>
      </c>
      <c r="H9" s="455">
        <f>IF(ISNUMBER(((NºAsuntos!G9/NºAsuntos!E9)-Datos!BD9)/Datos!BD9),((NºAsuntos!G9/NºAsuntos!E9)-Datos!BD9)/Datos!BD9," - ")</f>
        <v>8.1674981699088919E-2</v>
      </c>
      <c r="I9" s="456">
        <f>IF(ISNUMBER(((NºAsuntos!I9/NºAsuntos!G9)-Datos!BE9)/Datos!BE9),((NºAsuntos!I9/NºAsuntos!G9)-Datos!BE9)/Datos!BE9," - ")</f>
        <v>-0.15240855209337253</v>
      </c>
      <c r="J9" s="461">
        <f>IF(ISNUMBER((('Resol  Asuntos'!D9/NºAsuntos!G9)-Datos!BF9)/Datos!BF9),(('Resol  Asuntos'!D9/NºAsuntos!G9)-Datos!BF9)/Datos!BF9," - ")</f>
        <v>-0.43007095254952055</v>
      </c>
      <c r="K9" s="462">
        <f>IF(ISNUMBER((((NºAsuntos!C9+NºAsuntos!E9)/NºAsuntos!G9)-Datos!BG9)/Datos!BG9),(((NºAsuntos!C9+NºAsuntos!E9)/NºAsuntos!G9)-Datos!BG9)/Datos!BG9," - ")</f>
        <v>-9.3635430724670551E-2</v>
      </c>
    </row>
    <row r="10" spans="1:11">
      <c r="A10" s="402" t="str">
        <f>Datos!A10</f>
        <v>Jdos. Violencia contra la mujer</v>
      </c>
      <c r="B10" s="455">
        <f>IF(ISNUMBER((Datos!I10-Datos!S10)/Datos!S10),(Datos!I10-Datos!S10)/Datos!S10," - ")</f>
        <v>0.44594594594594594</v>
      </c>
      <c r="C10" s="456">
        <f>IF(ISNUMBER((Datos!J10-Datos!T10)/Datos!T10),(Datos!J10-Datos!T10)/Datos!T10," - ")</f>
        <v>0.2</v>
      </c>
      <c r="D10" s="456">
        <f>IF(ISNUMBER((Datos!K10-Datos!U10)/Datos!U10),(Datos!K10-Datos!U10)/Datos!U10," - ")</f>
        <v>-0.13636363636363635</v>
      </c>
      <c r="E10" s="456">
        <f>IF(ISNUMBER((Datos!L10-Datos!V10)/Datos!V10),(Datos!L10-Datos!V10)/Datos!V10," - ")</f>
        <v>0.55555555555555558</v>
      </c>
      <c r="F10" s="456">
        <f>IF(ISNUMBER((Datos!M10-Datos!W10)/Datos!W10),(Datos!M10-Datos!W10)/Datos!W10," - ")</f>
        <v>1.8</v>
      </c>
      <c r="G10" s="457" t="str">
        <f>IF(ISNUMBER((Datos!N10-Datos!X10)/Datos!X10),(Datos!N10-Datos!X10)/Datos!X10," - ")</f>
        <v xml:space="preserve"> - </v>
      </c>
      <c r="H10" s="455">
        <f>IF(ISNUMBER(((NºAsuntos!G10/NºAsuntos!E10)-Datos!BD10)/Datos!BD10),((NºAsuntos!G10/NºAsuntos!E10)-Datos!BD10)/Datos!BD10," - ")</f>
        <v>-0.28030303030303039</v>
      </c>
      <c r="I10" s="456">
        <f>IF(ISNUMBER(((NºAsuntos!I10/NºAsuntos!G10)-Datos!BE10)/Datos!BE10),((NºAsuntos!I10/NºAsuntos!G10)-Datos!BE10)/Datos!BE10," - ")</f>
        <v>0.80116959064327464</v>
      </c>
      <c r="J10" s="461">
        <f>IF(ISNUMBER((('Resol  Asuntos'!D10/NºAsuntos!G10)-Datos!BF10)/Datos!BF10),(('Resol  Asuntos'!D10/NºAsuntos!G10)-Datos!BF10)/Datos!BF10," - ")</f>
        <v>2.2421052631578946</v>
      </c>
      <c r="K10" s="462">
        <f>IF(ISNUMBER((((NºAsuntos!C10+NºAsuntos!E10)/NºAsuntos!G10)-Datos!BG10)/Datos!BG10),(((NºAsuntos!C10+NºAsuntos!E10)/NºAsuntos!G10)-Datos!BG10)/Datos!BG10," - ")</f>
        <v>0.61366181410974241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3.3221047740736441E-2</v>
      </c>
      <c r="C13" s="855">
        <f>IF(ISNUMBER(
   IF(J_V="SI",(Datos!J13-Datos!T13)/Datos!T13,(Datos!J13+Datos!Z13-(Datos!T13+Datos!AH13))/(Datos!T13+Datos!AH13))
     ),IF(J_V="SI",(Datos!J13-Datos!T13)/Datos!T13,(Datos!J13+Datos!Z13-(Datos!T13+Datos!AH13))/(Datos!T13+Datos!AH13))," - ")</f>
        <v>5.743380855397149E-2</v>
      </c>
      <c r="D13" s="855">
        <f>IF(ISNUMBER(
   IF(J_V="SI",(Datos!K13-Datos!U13)/Datos!U13,(Datos!K13+Datos!AA13-(Datos!U13+Datos!AI13))/(Datos!U13+Datos!AI13))
     ),IF(J_V="SI",(Datos!K13-Datos!U13)/Datos!U13,(Datos!K13+Datos!AA13-(Datos!U13+Datos!AI13))/(Datos!U13+Datos!AI13))," - ")</f>
        <v>0.14023247094113236</v>
      </c>
      <c r="E13" s="855">
        <f>IF(ISNUMBER(
   IF(J_V="SI",(Datos!L13-Datos!V13)/Datos!V13,(Datos!L13+Datos!AB13-(Datos!V13+Datos!AJ13))/(Datos!V13+Datos!AJ13))
     ),IF(J_V="SI",(Datos!L13-Datos!V13)/Datos!V13,(Datos!L13+Datos!AB13-(Datos!V13+Datos!AJ13))/(Datos!V13+Datos!AJ13))," - ")</f>
        <v>-2.6674432149097264E-2</v>
      </c>
      <c r="F13" s="856">
        <f>IF(ISNUMBER((Datos!M13-Datos!W13)/Datos!W13),(Datos!M13-Datos!W13)/Datos!W13," - ")</f>
        <v>0.47520661157024796</v>
      </c>
      <c r="G13" s="857">
        <f>IF(ISNUMBER((Datos!N13-Datos!X13)/Datos!X13),(Datos!N13-Datos!X13)/Datos!X13," - ")</f>
        <v>0.14511627906976743</v>
      </c>
      <c r="H13" s="857">
        <f>IF(ISNUMBER(((NºAsuntos!G13/NºAsuntos!E13)-Datos!BD13)/Datos!BD13),((NºAsuntos!G13/NºAsuntos!E13)-Datos!BD13)/Datos!BD13," - ")</f>
        <v>7.8301508536394324E-2</v>
      </c>
      <c r="I13" s="857">
        <f>IF(ISNUMBER(((NºAsuntos!I13/NºAsuntos!G13)-Datos!BE13)/Datos!BE13),((NºAsuntos!I13/NºAsuntos!G13)-Datos!BE13)/Datos!BE13," - ")</f>
        <v>-0.14637971408801123</v>
      </c>
      <c r="J13" s="857">
        <f>IF(ISNUMBER((('Resol  Asuntos'!D13/NºAsuntos!G13)-Datos!BF13)/Datos!BF13),(('Resol  Asuntos'!D13/NºAsuntos!G13)-Datos!BF13)/Datos!BF13," - ")</f>
        <v>-0.42019620738792068</v>
      </c>
      <c r="K13" s="857">
        <f>IF(ISNUMBER((((NºAsuntos!C13+NºAsuntos!E13)/NºAsuntos!G13)-Datos!BG13)/Datos!BG13),(((NºAsuntos!C13+NºAsuntos!E13)/NºAsuntos!G13)-Datos!BG13)/Datos!BG13," - ")</f>
        <v>-8.9138694529784901E-2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0.29761904761904762</v>
      </c>
      <c r="C15" s="456">
        <f>IF(ISNUMBER(
   IF(D_I="SI",(Datos!J15-Datos!T15)/Datos!T15,(Datos!J15+Datos!AD15-(Datos!T15+Datos!AL15))/(Datos!T15+Datos!AL15))
     ),IF(D_I="SI",(Datos!J15-Datos!T15)/Datos!T15,(Datos!J15+Datos!AD15-(Datos!T15+Datos!AL15))/(Datos!T15+Datos!AL15))," - ")</f>
        <v>0.16291390728476821</v>
      </c>
      <c r="D15" s="456">
        <f>IF(ISNUMBER(
   IF(D_I="SI",(Datos!K15-Datos!U15)/Datos!U15,(Datos!K15+Datos!AE15-(Datos!U15+Datos!AM15))/(Datos!U15+Datos!AM15))
     ),IF(D_I="SI",(Datos!K15-Datos!U15)/Datos!U15,(Datos!K15+Datos!AE15-(Datos!U15+Datos!AM15))/(Datos!U15+Datos!AM15))," - ")</f>
        <v>0.16448516579406633</v>
      </c>
      <c r="E15" s="456">
        <f>IF(ISNUMBER(
   IF(D_I="SI",(Datos!L15-Datos!V15)/Datos!V15,(Datos!L15+Datos!AF15-(Datos!V15+Datos!AN15))/(Datos!V15+Datos!AN15))
     ),IF(D_I="SI",(Datos!L15-Datos!V15)/Datos!V15,(Datos!L15+Datos!AF15-(Datos!V15+Datos!AN15))/(Datos!V15+Datos!AN15))," - ")</f>
        <v>0.29067077872012337</v>
      </c>
      <c r="F15" s="456">
        <f>IF(ISNUMBER((Datos!M15-Datos!W15)/Datos!W15),(Datos!M15-Datos!W15)/Datos!W15," - ")</f>
        <v>0.2032967032967033</v>
      </c>
      <c r="G15" s="457">
        <f>IF(ISNUMBER((Datos!N15-Datos!X15)/Datos!X15),(Datos!N15-Datos!X15)/Datos!X15," - ")</f>
        <v>0.24905374716124148</v>
      </c>
      <c r="H15" s="455">
        <f>IF(ISNUMBER(((NºAsuntos!G15/NºAsuntos!E15)-Datos!BD15)/Datos!BD15),((NºAsuntos!G15/NºAsuntos!E15)-Datos!BD15)/Datos!BD15," - ")</f>
        <v>1.3511391509340822E-3</v>
      </c>
      <c r="I15" s="456">
        <f>IF(ISNUMBER(((NºAsuntos!I15/NºAsuntos!G15)-Datos!BE15)/Datos!BE15),((NºAsuntos!I15/NºAsuntos!G15)-Datos!BE15)/Datos!BE15," - ")</f>
        <v>0.1083617178068651</v>
      </c>
      <c r="J15" s="461">
        <f>IF(ISNUMBER((('Resol  Asuntos'!D15/NºAsuntos!G15)-Datos!BF15)/Datos!BF15),(('Resol  Asuntos'!D15/NºAsuntos!G15)-Datos!BF15)/Datos!BF15," - ")</f>
        <v>3.3329353299379416E-2</v>
      </c>
      <c r="K15" s="462">
        <f>IF(ISNUMBER((((NºAsuntos!C15+NºAsuntos!E15)/NºAsuntos!G15)-Datos!BG15)/Datos!BG15),(((NºAsuntos!C15+NºAsuntos!E15)/NºAsuntos!G15)-Datos!BG15)/Datos!BG15," - ")</f>
        <v>3.9999362260150155E-2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-0.72727272727272729</v>
      </c>
      <c r="C16" s="456" t="str">
        <f>IF(ISNUMBER(
   IF(D_I="SI",(Datos!J16-Datos!T16)/Datos!T16,(Datos!J16+Datos!AD16-(Datos!T16+Datos!AL16))/(Datos!T16+Datos!AL16))
     ),IF(D_I="SI",(Datos!J16-Datos!T16)/Datos!T16,(Datos!J16+Datos!AD16-(Datos!T16+Datos!AL16))/(Datos!T16+Datos!AL16))," - ")</f>
        <v xml:space="preserve"> - </v>
      </c>
      <c r="D16" s="456">
        <f>IF(ISNUMBER(
   IF(D_I="SI",(Datos!K16-Datos!U16)/Datos!U16,(Datos!K16+Datos!AE16-(Datos!U16+Datos!AM16))/(Datos!U16+Datos!AM16))
     ),IF(D_I="SI",(Datos!K16-Datos!U16)/Datos!U16,(Datos!K16+Datos!AE16-(Datos!U16+Datos!AM16))/(Datos!U16+Datos!AM16))," - ")</f>
        <v>0.25</v>
      </c>
      <c r="E16" s="456">
        <f>IF(ISNUMBER(
   IF(D_I="SI",(Datos!L16-Datos!V16)/Datos!V16,(Datos!L16+Datos!AF16-(Datos!V16+Datos!AN16))/(Datos!V16+Datos!AN16))
     ),IF(D_I="SI",(Datos!L16-Datos!V16)/Datos!V16,(Datos!L16+Datos!AF16-(Datos!V16+Datos!AN16))/(Datos!V16+Datos!AN16))," - ")</f>
        <v>-1</v>
      </c>
      <c r="F16" s="456" t="str">
        <f>IF(ISNUMBER((Datos!M16-Datos!W16)/Datos!W16),(Datos!M16-Datos!W16)/Datos!W16," - ")</f>
        <v xml:space="preserve"> - </v>
      </c>
      <c r="G16" s="457">
        <f>IF(ISNUMBER((Datos!N16-Datos!X16)/Datos!X16),(Datos!N16-Datos!X16)/Datos!X16," - ")</f>
        <v>-0.25</v>
      </c>
      <c r="H16" s="455" t="str">
        <f>IF(ISNUMBER(((NºAsuntos!G16/NºAsuntos!E16)-Datos!BD16)/Datos!BD16),((NºAsuntos!G16/NºAsuntos!E16)-Datos!BD16)/Datos!BD16," - ")</f>
        <v xml:space="preserve"> - </v>
      </c>
      <c r="I16" s="456">
        <f>IF(ISNUMBER(((NºAsuntos!I16/NºAsuntos!G16)-Datos!BE16)/Datos!BE16),((NºAsuntos!I16/NºAsuntos!G16)-Datos!BE16)/Datos!BE16," - ")</f>
        <v>-1</v>
      </c>
      <c r="J16" s="461" t="str">
        <f>IF(ISNUMBER((('Resol  Asuntos'!D16/NºAsuntos!G16)-Datos!BF16)/Datos!BF16),(('Resol  Asuntos'!D16/NºAsuntos!G16)-Datos!BF16)/Datos!BF16," - ")</f>
        <v xml:space="preserve"> - </v>
      </c>
      <c r="K16" s="462">
        <f>IF(ISNUMBER((((NºAsuntos!C16+NºAsuntos!E16)/NºAsuntos!G16)-Datos!BG16)/Datos!BG16),(((NºAsuntos!C16+NºAsuntos!E16)/NºAsuntos!G16)-Datos!BG16)/Datos!BG16," - ")</f>
        <v>-0.78181818181818175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0.33636363636363636</v>
      </c>
      <c r="C17" s="456">
        <f>IF(ISNUMBER(
   IF(D_I="SI",(Datos!J17-Datos!T17)/Datos!T17,(Datos!J17+Datos!AD17-(Datos!T17+Datos!AL17))/(Datos!T17+Datos!AL17))
     ),IF(D_I="SI",(Datos!J17-Datos!T17)/Datos!T17,(Datos!J17+Datos!AD17-(Datos!T17+Datos!AL17))/(Datos!T17+Datos!AL17))," - ")</f>
        <v>2.0746887966804978E-2</v>
      </c>
      <c r="D17" s="456">
        <f>IF(ISNUMBER(
   IF(D_I="SI",(Datos!K17-Datos!U17)/Datos!U17,(Datos!K17+Datos!AE17-(Datos!U17+Datos!AM17))/(Datos!U17+Datos!AM17))
     ),IF(D_I="SI",(Datos!K17-Datos!U17)/Datos!U17,(Datos!K17+Datos!AE17-(Datos!U17+Datos!AM17))/(Datos!U17+Datos!AM17))," - ")</f>
        <v>0.22009569377990432</v>
      </c>
      <c r="E17" s="456">
        <f>IF(ISNUMBER(
   IF(D_I="SI",(Datos!L17-Datos!V17)/Datos!V17,(Datos!L17+Datos!AF17-(Datos!V17+Datos!AN17))/(Datos!V17+Datos!AN17))
     ),IF(D_I="SI",(Datos!L17-Datos!V17)/Datos!V17,(Datos!L17+Datos!AF17-(Datos!V17+Datos!AN17))/(Datos!V17+Datos!AN17))," - ")</f>
        <v>-2.8169014084507043E-2</v>
      </c>
      <c r="F17" s="456">
        <f>IF(ISNUMBER((Datos!M17-Datos!W17)/Datos!W17),(Datos!M17-Datos!W17)/Datos!W17," - ")</f>
        <v>-0.15</v>
      </c>
      <c r="G17" s="457">
        <f>IF(ISNUMBER((Datos!N17-Datos!X17)/Datos!X17),(Datos!N17-Datos!X17)/Datos!X17," - ")</f>
        <v>0.7640449438202247</v>
      </c>
      <c r="H17" s="455">
        <f>IF(ISNUMBER(((NºAsuntos!G17/NºAsuntos!E17)-Datos!BD17)/Datos!BD17),((NºAsuntos!G17/NºAsuntos!E17)-Datos!BD17)/Datos!BD17," - ")</f>
        <v>0.19529700081689813</v>
      </c>
      <c r="I17" s="456">
        <f>IF(ISNUMBER(((NºAsuntos!I17/NºAsuntos!G17)-Datos!BE17)/Datos!BE17),((NºAsuntos!I17/NºAsuntos!G17)-Datos!BE17)/Datos!BE17," - ")</f>
        <v>-0.20347970173985092</v>
      </c>
      <c r="J17" s="461">
        <f>IF(ISNUMBER((('Resol  Asuntos'!D17/NºAsuntos!G17)-Datos!BF17)/Datos!BF17),(('Resol  Asuntos'!D17/NºAsuntos!G17)-Datos!BF17)/Datos!BF17," - ")</f>
        <v>-0.30333333333333334</v>
      </c>
      <c r="K17" s="462">
        <f>IF(ISNUMBER((((NºAsuntos!C17+NºAsuntos!E17)/NºAsuntos!G17)-Datos!BG17)/Datos!BG17),(((NºAsuntos!C17+NºAsuntos!E17)/NºAsuntos!G17)-Datos!BG17)/Datos!BG17," - ")</f>
        <v>-8.2319423495894037E-2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0.29254163649529324</v>
      </c>
      <c r="C18" s="855">
        <f>IF(ISNUMBER(
   IF(Criterios!B14="SI",(Datos!J18-Datos!T18)/Datos!T18,(Datos!J18+Datos!AD18-(Datos!T18+Datos!AL18))/(Datos!T18+Datos!AL18))
     ),IF(Criterios!B14="SI",(Datos!J18-Datos!T18)/Datos!T18,(Datos!J18+Datos!AD18-(Datos!T18+Datos!AL18))/(Datos!T18+Datos!AL18))," - ")</f>
        <v>0.14924181963288108</v>
      </c>
      <c r="D18" s="855">
        <f>IF(ISNUMBER(
   IF(Criterios!B14="SI",(Datos!K18-Datos!U18)/Datos!U18,(Datos!K18+Datos!AE18-(Datos!U18+Datos!AM18))/(Datos!U18+Datos!AM18))
     ),IF(Criterios!B14="SI",(Datos!K18-Datos!U18)/Datos!U18,(Datos!K18+Datos!AE18-(Datos!U18+Datos!AM18))/(Datos!U18+Datos!AM18))," - ")</f>
        <v>0.16926147704590819</v>
      </c>
      <c r="E18" s="855">
        <f>IF(ISNUMBER(
   IF(Criterios!B14="SI",(Datos!L18-Datos!V18)/Datos!V18,(Datos!L18+Datos!AF18-(Datos!V18+Datos!AN18))/(Datos!V18+Datos!AN18))
     ),IF(Criterios!B14="SI",(Datos!L18-Datos!V18)/Datos!V18,(Datos!L18+Datos!AF18-(Datos!V18+Datos!AN18))/(Datos!V18+Datos!AN18))," - ")</f>
        <v>0.25051759834368531</v>
      </c>
      <c r="F18" s="856">
        <f>IF(ISNUMBER((Datos!M18-Datos!W18)/Datos!W18),(Datos!M18-Datos!W18)/Datos!W18," - ")</f>
        <v>0.13963963963963963</v>
      </c>
      <c r="G18" s="857">
        <f>IF(ISNUMBER((Datos!N18-Datos!X18)/Datos!X18),(Datos!N18-Datos!X18)/Datos!X18," - ")</f>
        <v>0.28005657708628007</v>
      </c>
      <c r="H18" s="857">
        <f>IF(ISNUMBER(((NºAsuntos!G18/NºAsuntos!E18)-Datos!BD18)/Datos!BD18),((NºAsuntos!G18/NºAsuntos!E18)-Datos!BD18)/Datos!BD18," - ")</f>
        <v>1.7419882457307606E-2</v>
      </c>
      <c r="I18" s="857">
        <f>IF(ISNUMBER(((NºAsuntos!I18/NºAsuntos!G18)-Datos!BE18)/Datos!BE18),((NºAsuntos!I18/NºAsuntos!G18)-Datos!BE18)/Datos!BE18," - ")</f>
        <v>6.9493541772254031E-2</v>
      </c>
      <c r="J18" s="857">
        <f>IF(ISNUMBER((('Resol  Asuntos'!D18/NºAsuntos!G18)-Datos!BF18)/Datos!BF18),(('Resol  Asuntos'!D18/NºAsuntos!G18)-Datos!BF18)/Datos!BF18," - ")</f>
        <v>-2.5333800854456381E-2</v>
      </c>
      <c r="K18" s="857">
        <f>IF(ISNUMBER((((NºAsuntos!C18+NºAsuntos!E18)/NºAsuntos!G18)-Datos!BG18)/Datos!BG18),(((NºAsuntos!C18+NºAsuntos!E18)/NºAsuntos!G18)-Datos!BG18)/Datos!BG18," - ")</f>
        <v>2.6420851323708364E-2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6.9069069069069067E-2</v>
      </c>
      <c r="C19" s="802">
        <f>IF(ISNUMBER(
   IF(J_V="SI",(Datos!J19-Datos!T19)/Datos!T19,(Datos!J19+Datos!Z19-(Datos!T19+Datos!AH19))/(Datos!T19+Datos!AH19))
     ),IF(J_V="SI",(Datos!J19-Datos!T19)/Datos!T19,(Datos!J19+Datos!Z19-(Datos!T19+Datos!AH19))/(Datos!T19+Datos!AH19))," - ")</f>
        <v>0.10380971578310824</v>
      </c>
      <c r="D19" s="802">
        <f>IF(ISNUMBER(
   IF(J_V="SI",(Datos!K19-Datos!U19)/Datos!U19,(Datos!K19+Datos!AA19-(Datos!U19+Datos!AI19))/(Datos!U19+Datos!AI19))
     ),IF(J_V="SI",(Datos!K19-Datos!U19)/Datos!U19,(Datos!K19+Datos!AA19-(Datos!U19+Datos!AI19))/(Datos!U19+Datos!AI19))," - ")</f>
        <v>0.154292343387471</v>
      </c>
      <c r="E19" s="802">
        <f>IF(ISNUMBER(
   IF(J_V="SI",(Datos!L19-Datos!V19)/Datos!V19,(Datos!L19+Datos!AB19-(Datos!V19+Datos!AJ19))/(Datos!V19+Datos!AJ19))
     ),IF(J_V="SI",(Datos!L19-Datos!V19)/Datos!V19,(Datos!L19+Datos!AB19-(Datos!V19+Datos!AJ19))/(Datos!V19+Datos!AJ19))," - ")</f>
        <v>1.3354594379111023E-2</v>
      </c>
      <c r="F19" s="803">
        <f>IF(ISNUMBER((Datos!M19-Datos!W19)/Datos!W19),(Datos!M19-Datos!W19)/Datos!W19," - ")</f>
        <v>0.31465517241379309</v>
      </c>
      <c r="G19" s="804">
        <f>IF(ISNUMBER((Datos!N19-Datos!X19)/Datos!X19),(Datos!N19-Datos!X19)/Datos!X19," - ")</f>
        <v>0.2217758135797509</v>
      </c>
      <c r="H19" s="805">
        <f>IF(ISNUMBER((Tasas!B19-Datos!BD19)/Datos!BD19),(Tasas!B19-Datos!BD19)/Datos!BD19," - ")</f>
        <v>4.5734900574368888E-2</v>
      </c>
      <c r="I19" s="806">
        <f>IF(ISNUMBER((Tasas!C19-Datos!BE19)/Datos!BE19),(Tasas!C19-Datos!BE19)/Datos!BE19," - ")</f>
        <v>-0.12209883381427773</v>
      </c>
      <c r="J19" s="807">
        <f>IF(ISNUMBER((Tasas!D19-Datos!BF19)/Datos!BF19),(Tasas!D19-Datos!BF19)/Datos!BF19," - ")</f>
        <v>-0.30647990609214049</v>
      </c>
      <c r="K19" s="807">
        <f>IF(ISNUMBER((Tasas!E19-Datos!BG19)/Datos!BG19),(Tasas!E19-Datos!BG19)/Datos!BG19," - ")</f>
        <v>-6.3844942053589412E-2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idPHOoDmqnEaFFejlkt9K5pxGNjbZm/D3bUTrQt7mrGJMdhJ5jMJfqPc6R+t13ihw3IZ0XivaLeT0XZAUG6ww==" saltValue="tiE5uIQj2fy1GC0w1fct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TORREVIEJA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1.1749611197511665</v>
      </c>
      <c r="C9" s="443">
        <f>IF(ISNUMBER(NºAsuntos!I9/NºAsuntos!G9),NºAsuntos!I9/NºAsuntos!G9," - ")</f>
        <v>2.7279947054930509</v>
      </c>
      <c r="D9" s="444">
        <f>IF(ISNUMBER('Resol  Asuntos'!D9/NºAsuntos!G9),'Resol  Asuntos'!D9/NºAsuntos!G9," - ")</f>
        <v>0.23163467902051621</v>
      </c>
      <c r="E9" s="445">
        <f>IF(ISNUMBER((NºAsuntos!C9+NºAsuntos!E9)/NºAsuntos!G9),(NºAsuntos!C9+NºAsuntos!E9)/NºAsuntos!G9," - ")</f>
        <v>3.7590999338186633</v>
      </c>
      <c r="G9" s="463"/>
    </row>
    <row r="10" spans="1:7">
      <c r="A10" s="402" t="str">
        <f>Datos!A10</f>
        <v>Jdos. Violencia contra la mujer</v>
      </c>
      <c r="B10" s="442">
        <f>IF(ISNUMBER(NºAsuntos!G10/NºAsuntos!E10),NºAsuntos!G10/NºAsuntos!E10," - ")</f>
        <v>0.79166666666666663</v>
      </c>
      <c r="C10" s="443">
        <f>IF(ISNUMBER(NºAsuntos!I10/NºAsuntos!G10),NºAsuntos!I10/NºAsuntos!G10," - ")</f>
        <v>5.8947368421052628</v>
      </c>
      <c r="D10" s="444">
        <f>IF(ISNUMBER('Resol  Asuntos'!D10/NºAsuntos!G10),'Resol  Asuntos'!D10/NºAsuntos!G10," - ")</f>
        <v>0.73684210526315785</v>
      </c>
      <c r="E10" s="445">
        <f>IF(ISNUMBER((NºAsuntos!C10+NºAsuntos!E10)/NºAsuntos!G10),(NºAsuntos!C10+NºAsuntos!E10)/NºAsuntos!G10," - ")</f>
        <v>6.8947368421052628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1.171417565485362</v>
      </c>
      <c r="C13" s="859">
        <f>IF(ISNUMBER(NºAsuntos!I13/NºAsuntos!G13),NºAsuntos!I13/NºAsuntos!G13," - ")</f>
        <v>2.7477803354159818</v>
      </c>
      <c r="D13" s="860">
        <f>IF(ISNUMBER('Resol  Asuntos'!D13/NºAsuntos!G13),'Resol  Asuntos'!D13/NºAsuntos!G13," - ")</f>
        <v>0.23479118710950345</v>
      </c>
      <c r="E13" s="861">
        <f>IF(ISNUMBER((NºAsuntos!C13+NºAsuntos!E13)/NºAsuntos!G13),(NºAsuntos!C13+NºAsuntos!E13)/NºAsuntos!G13," - ")</f>
        <v>3.7786912199934233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1.013287775246773</v>
      </c>
      <c r="C15" s="443">
        <f>IF(ISNUMBER(NºAsuntos!I15/NºAsuntos!G15),NºAsuntos!I15/NºAsuntos!G15," - ")</f>
        <v>0.62720119895091797</v>
      </c>
      <c r="D15" s="444">
        <f>IF(ISNUMBER('Resol  Asuntos'!D15/NºAsuntos!G15),'Resol  Asuntos'!D15/NºAsuntos!G15," - ")</f>
        <v>0.16410640689396777</v>
      </c>
      <c r="E15" s="445">
        <f>IF(ISNUMBER((NºAsuntos!C15+NºAsuntos!E15)/NºAsuntos!G15),(NºAsuntos!C15+NºAsuntos!E15)/NºAsuntos!G15," - ")</f>
        <v>1.5994754589733984</v>
      </c>
      <c r="G15" s="463"/>
    </row>
    <row r="16" spans="1:7">
      <c r="A16" s="402" t="str">
        <f>Datos!A16</f>
        <v xml:space="preserve">Jdos. 1ª Instª. e Instr.                        </v>
      </c>
      <c r="B16" s="442" t="str">
        <f>IF(ISNUMBER(NºAsuntos!G16/NºAsuntos!E16),NºAsuntos!G16/NºAsuntos!E16," - ")</f>
        <v xml:space="preserve"> - </v>
      </c>
      <c r="C16" s="443">
        <f>IF(ISNUMBER(NºAsuntos!I16/NºAsuntos!G16),NºAsuntos!I16/NºAsuntos!G16," - ")</f>
        <v>0</v>
      </c>
      <c r="D16" s="444">
        <f>IF(ISNUMBER('Resol  Asuntos'!D16/NºAsuntos!G16),'Resol  Asuntos'!D16/NºAsuntos!G16," - ")</f>
        <v>0</v>
      </c>
      <c r="E16" s="445">
        <f>IF(ISNUMBER((NºAsuntos!C16+NºAsuntos!E16)/NºAsuntos!G16),(NºAsuntos!C16+NºAsuntos!E16)/NºAsuntos!G16," - ")</f>
        <v>0.6</v>
      </c>
      <c r="G16" s="463"/>
    </row>
    <row r="17" spans="1:7" ht="13.5" thickBot="1">
      <c r="A17" s="402" t="str">
        <f>Datos!A17</f>
        <v>Jdos. Violencia contra la mujer</v>
      </c>
      <c r="B17" s="442">
        <f>IF(ISNUMBER(NºAsuntos!G17/NºAsuntos!E17),NºAsuntos!G17/NºAsuntos!E17," - ")</f>
        <v>1.0365853658536586</v>
      </c>
      <c r="C17" s="443">
        <f>IF(ISNUMBER(NºAsuntos!I17/NºAsuntos!G17),NºAsuntos!I17/NºAsuntos!G17," - ")</f>
        <v>0.54117647058823526</v>
      </c>
      <c r="D17" s="444">
        <f>IF(ISNUMBER('Resol  Asuntos'!D17/NºAsuntos!G17),'Resol  Asuntos'!D17/NºAsuntos!G17," - ")</f>
        <v>0.26666666666666666</v>
      </c>
      <c r="E17" s="445">
        <f>IF(ISNUMBER((NºAsuntos!C17+NºAsuntos!E17)/NºAsuntos!G17),(NºAsuntos!C17+NºAsuntos!E17)/NºAsuntos!G17," - ")</f>
        <v>1.5411764705882354</v>
      </c>
      <c r="G17" s="463"/>
    </row>
    <row r="18" spans="1:7" ht="14.25" thickTop="1" thickBot="1">
      <c r="A18" s="848" t="str">
        <f>Datos!A18</f>
        <v>TOTAL</v>
      </c>
      <c r="B18" s="858">
        <f>IF(ISNUMBER(NºAsuntos!G18/NºAsuntos!E18),NºAsuntos!G18/NºAsuntos!E18," - ")</f>
        <v>1.0170138888888889</v>
      </c>
      <c r="C18" s="859">
        <f>IF(ISNUMBER(NºAsuntos!I18/NºAsuntos!G18),NºAsuntos!I18/NºAsuntos!G18," - ")</f>
        <v>0.61864117446227385</v>
      </c>
      <c r="D18" s="862">
        <f>IF(ISNUMBER('Resol  Asuntos'!D18/NºAsuntos!G18),'Resol  Asuntos'!D18/NºAsuntos!G18," - ")</f>
        <v>0.17275520655513826</v>
      </c>
      <c r="E18" s="861">
        <f>IF(ISNUMBER((NºAsuntos!C18+NºAsuntos!E18)/NºAsuntos!G18),(NºAsuntos!C18+NºAsuntos!E18)/NºAsuntos!G18," - ")</f>
        <v>1.592693752133834</v>
      </c>
      <c r="G18" s="463"/>
    </row>
    <row r="19" spans="1:7" ht="15.75" customHeight="1" thickTop="1" thickBot="1">
      <c r="A19" s="793" t="str">
        <f>Datos!A19</f>
        <v>TOTAL JURISDICCIONES</v>
      </c>
      <c r="B19" s="808">
        <f>IF(ISNUMBER(NºAsuntos!G19/NºAsuntos!E19),NºAsuntos!G19/NºAsuntos!E19," - ")</f>
        <v>1.0902118334550768</v>
      </c>
      <c r="C19" s="809">
        <f>IF(ISNUMBER(NºAsuntos!I19/NºAsuntos!G19),NºAsuntos!I19/NºAsuntos!G19," - ")</f>
        <v>1.703182579564489</v>
      </c>
      <c r="D19" s="810">
        <f>IF(ISNUMBER('Resol  Asuntos'!D19/NºAsuntos!G19),'Resol  Asuntos'!D19/NºAsuntos!G19," - ")</f>
        <v>0.20435510887772193</v>
      </c>
      <c r="E19" s="811">
        <f>IF(ISNUMBER((NºAsuntos!C19+NºAsuntos!E19)/NºAsuntos!G19),(NºAsuntos!C19+NºAsuntos!E19)/NºAsuntos!G19," - ")</f>
        <v>2.7061976549413735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mA6KHjaLc/21pUbxFr/KE04b41kBra2aCNAR/VQKNU33kZCcCnfgbxZchPFo+jA2MgPiRsFo7QBZKG6Y/8tcw==" saltValue="F6Zt+ZkPzOw8vEcXDXOF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TORREVIEJA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579</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830</v>
      </c>
      <c r="AX5" s="1245" t="s">
        <v>321</v>
      </c>
      <c r="AY5" s="1245" t="s">
        <v>744</v>
      </c>
      <c r="AZ5" s="1245" t="s">
        <v>745</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747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359</v>
      </c>
      <c r="Y9" s="334">
        <f>SUM(W9:X9)</f>
        <v>359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10279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700</v>
      </c>
      <c r="AJ9" s="229" t="str">
        <f>IF(ISNUMBER(Datos!BW9),Datos!BW9," - ")</f>
        <v xml:space="preserve"> - </v>
      </c>
      <c r="AK9" s="228" t="str">
        <f>IF(ISNUMBER(Datos!BX9),Datos!BX9," - ")</f>
        <v xml:space="preserve"> - </v>
      </c>
      <c r="AL9" s="243">
        <f>IF(ISNUMBER(NºAsuntos!G9/NºAsuntos!E9),NºAsuntos!G9/NºAsuntos!E9," - ")</f>
        <v>1.1749611197511665</v>
      </c>
      <c r="AM9" s="260">
        <f>IF(ISNUMBER(((NºAsuntos!I9/NºAsuntos!G9)*11)/factor_trimestre),((NºAsuntos!I9/NºAsuntos!G9)*11)/factor_trimestre," - ")</f>
        <v>8.1839841164791522</v>
      </c>
      <c r="AN9" s="244">
        <f>IF(ISNUMBER('Resol  Asuntos'!D9/NºAsuntos!G9),'Resol  Asuntos'!D9/NºAsuntos!G9," - ")</f>
        <v>0.23163467902051621</v>
      </c>
      <c r="AO9" s="245">
        <f>IF(ISNUMBER((NºAsuntos!C9+NºAsuntos!E9)/NºAsuntos!G9),(NºAsuntos!C9+NºAsuntos!E9)/NºAsuntos!G9," - ")</f>
        <v>3.7590999338186633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107</v>
      </c>
      <c r="G10" s="333">
        <f>IF(ISNUMBER(Datos!I10),Datos!I10," - ")</f>
        <v>107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19</v>
      </c>
      <c r="X10" s="226">
        <f>IF(ISNUMBER(Datos!Q10),Datos!Q10," - ")</f>
        <v>2</v>
      </c>
      <c r="Y10" s="334">
        <f t="shared" ref="Y10:Y12" si="0">SUM(W10:X10)</f>
        <v>21</v>
      </c>
      <c r="Z10" s="335" t="str">
        <f>IF(ISNUMBER(Datos!CC10),Datos!CC10," - ")</f>
        <v xml:space="preserve"> - </v>
      </c>
      <c r="AA10" s="332">
        <f>IF(ISNUMBER(Datos!L10),Datos!L10,"-")</f>
        <v>112</v>
      </c>
      <c r="AB10" s="334">
        <f>IF(ISNUMBER(Datos!R10),Datos!R10," - ")</f>
        <v>82</v>
      </c>
      <c r="AC10" s="334">
        <f t="shared" ref="AC10:AC12" si="1">IF(ISNUMBER(AA10+AB10),AA10+AB10," - ")</f>
        <v>194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0.79166666666666663</v>
      </c>
      <c r="AM10" s="260">
        <f>IF(ISNUMBER(((NºAsuntos!I10/NºAsuntos!G10)*11)/factor_trimestre),((NºAsuntos!I10/NºAsuntos!G10)*11)/factor_trimestre," - ")</f>
        <v>17.684210526315788</v>
      </c>
      <c r="AN10" s="244">
        <f>IF(ISNUMBER('Resol  Asuntos'!D10/NºAsuntos!G10),'Resol  Asuntos'!D10/NºAsuntos!G10," - ")</f>
        <v>0.73684210526315785</v>
      </c>
      <c r="AO10" s="245">
        <f>IF(ISNUMBER((NºAsuntos!C10+NºAsuntos!E10)/NºAsuntos!G10),(NºAsuntos!C10+NºAsuntos!E10)/NºAsuntos!G10," - ")</f>
        <v>6.8947368421052628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107</v>
      </c>
      <c r="G13" s="866">
        <f t="shared" si="3"/>
        <v>107</v>
      </c>
      <c r="H13" s="865">
        <f t="shared" si="3"/>
        <v>0</v>
      </c>
      <c r="I13" s="867">
        <f t="shared" si="3"/>
        <v>0</v>
      </c>
      <c r="J13" s="867">
        <f t="shared" si="3"/>
        <v>0</v>
      </c>
      <c r="K13" s="867">
        <f t="shared" si="3"/>
        <v>0</v>
      </c>
      <c r="L13" s="867">
        <f t="shared" si="3"/>
        <v>754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19</v>
      </c>
      <c r="X13" s="867">
        <f t="shared" si="4"/>
        <v>361</v>
      </c>
      <c r="Y13" s="868">
        <f t="shared" si="4"/>
        <v>380</v>
      </c>
      <c r="Z13" s="868">
        <f t="shared" si="4"/>
        <v>0</v>
      </c>
      <c r="AA13" s="868">
        <f t="shared" si="4"/>
        <v>112</v>
      </c>
      <c r="AB13" s="868">
        <f t="shared" si="4"/>
        <v>10361</v>
      </c>
      <c r="AC13" s="868">
        <f t="shared" si="4"/>
        <v>194</v>
      </c>
      <c r="AD13" s="868">
        <f t="shared" si="4"/>
        <v>0</v>
      </c>
      <c r="AE13" s="872">
        <f t="shared" si="4"/>
        <v>0</v>
      </c>
      <c r="AF13" s="865">
        <f t="shared" si="4"/>
        <v>0</v>
      </c>
      <c r="AG13" s="873">
        <f t="shared" si="4"/>
        <v>0</v>
      </c>
      <c r="AH13" s="870">
        <f t="shared" si="4"/>
        <v>0</v>
      </c>
      <c r="AI13" s="865">
        <f t="shared" si="4"/>
        <v>714</v>
      </c>
      <c r="AJ13" s="867">
        <f t="shared" si="4"/>
        <v>0</v>
      </c>
      <c r="AK13" s="870">
        <f>SUBTOTAL(9,AK9:AK12)</f>
        <v>0</v>
      </c>
      <c r="AL13" s="874">
        <f>IF(ISNUMBER(NºAsuntos!G13/NºAsuntos!E13),NºAsuntos!G13/NºAsuntos!E13," - ")</f>
        <v>1.171417565485362</v>
      </c>
      <c r="AM13" s="874">
        <f>IF(ISNUMBER(((NºAsuntos!I13/NºAsuntos!G13)*11)/factor_trimestre),((NºAsuntos!I13/NºAsuntos!G13)*11)/factor_trimestre," - ")</f>
        <v>8.2433410062479453</v>
      </c>
      <c r="AN13" s="875">
        <f>IF(ISNUMBER('Resol  Asuntos'!D13/NºAsuntos!G13),'Resol  Asuntos'!D13/NºAsuntos!G13," - ")</f>
        <v>0.23479118710950345</v>
      </c>
      <c r="AO13" s="876">
        <f>IF(ISNUMBER((NºAsuntos!C13+NºAsuntos!E13)/NºAsuntos!G13),(NºAsuntos!C13+NºAsuntos!E13)/NºAsuntos!G13," - ")</f>
        <v>3.7786912199934233</v>
      </c>
      <c r="AP13" s="877" t="str">
        <f t="shared" si="2"/>
        <v xml:space="preserve"> - </v>
      </c>
      <c r="AQ13" s="877">
        <f>IF(ISNUMBER((H13-W13+K13)/(F13)),(H13-W13+K13)/(F13)," - ")</f>
        <v>-0.17757009345794392</v>
      </c>
      <c r="AR13" s="878">
        <f>IF(ISNUMBER((Datos!P13-Datos!Q13)/(Datos!R13-Datos!P13+Datos!Q13)),(Datos!P13-Datos!Q13)/(Datos!R13-Datos!P13+Datos!Q13)," - ")</f>
        <v>3.9426163723916531E-2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1709</v>
      </c>
      <c r="G15" s="333">
        <f>IF(ISNUMBER(IF(D_I="SI",Datos!I15,Datos!I15+Datos!AC15)),IF(D_I="SI",Datos!I15,Datos!I15+Datos!AC15)," - ")</f>
        <v>1635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110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2669</v>
      </c>
      <c r="X15" s="226">
        <f>IF(ISNUMBER(Datos!Q15),Datos!Q15," - ")</f>
        <v>105</v>
      </c>
      <c r="Y15" s="334">
        <f>SUM(W15)</f>
        <v>2669</v>
      </c>
      <c r="Z15" s="335" t="str">
        <f>IF(ISNUMBER(Datos!CC15),Datos!CC15," - ")</f>
        <v xml:space="preserve"> - </v>
      </c>
      <c r="AA15" s="332">
        <f>IF(ISNUMBER(IF(D_I="SI",Datos!L15,Datos!L15+Datos!AF15)),IF(D_I="SI",Datos!L15,Datos!L15+Datos!AF15)," - ")</f>
        <v>1674</v>
      </c>
      <c r="AB15" s="334">
        <f>IF(ISNUMBER(Datos!R15),Datos!R15," - ")</f>
        <v>381</v>
      </c>
      <c r="AC15" s="334">
        <f t="shared" ref="AC15:AC17" si="6">IF(ISNUMBER(AA15+AB15),AA15+AB15," - ")</f>
        <v>2055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438</v>
      </c>
      <c r="AJ15" s="231" t="str">
        <f>IF(ISNUMBER(Datos!BW15),Datos!BW15," - ")</f>
        <v xml:space="preserve"> - </v>
      </c>
      <c r="AK15" s="232" t="str">
        <f>IF(ISNUMBER(Datos!BX15),Datos!BX15," - ")</f>
        <v xml:space="preserve"> - </v>
      </c>
      <c r="AL15" s="243">
        <f>IF(ISNUMBER(NºAsuntos!G15/NºAsuntos!E15),NºAsuntos!G15/NºAsuntos!E15," - ")</f>
        <v>1.013287775246773</v>
      </c>
      <c r="AM15" s="260">
        <f>IF(ISNUMBER(((NºAsuntos!I15/NºAsuntos!G15)*11)/factor_trimestre),((NºAsuntos!I15/NºAsuntos!G15)*11)/factor_trimestre," - ")</f>
        <v>1.881603596852754</v>
      </c>
      <c r="AN15" s="244">
        <f>IF(ISNUMBER('Resol  Asuntos'!D15/NºAsuntos!G15),'Resol  Asuntos'!D15/NºAsuntos!G15," - ")</f>
        <v>0.16410640689396777</v>
      </c>
      <c r="AO15" s="245">
        <f>IF(ISNUMBER((NºAsuntos!C15+NºAsuntos!E15)/NºAsuntos!G15),(NºAsuntos!C15+NºAsuntos!E15)/NºAsuntos!G15," - ")</f>
        <v>1.5994754589733984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5</v>
      </c>
      <c r="G16" s="333">
        <f>IF(ISNUMBER(IF(D_I="SI",Datos!I16,Datos!I16+Datos!AC16)),IF(D_I="SI",Datos!I16,Datos!I16+Datos!AC16)," - ")</f>
        <v>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v>
      </c>
      <c r="X16" s="226">
        <f>IF(ISNUMBER(Datos!Q16),Datos!Q16," - ")</f>
        <v>3</v>
      </c>
      <c r="Y16" s="334">
        <f t="shared" ref="Y16:Y17" si="7">SUM(W16:X16)</f>
        <v>8</v>
      </c>
      <c r="Z16" s="335" t="str">
        <f>IF(ISNUMBER(Datos!CC16),Datos!CC16," - ")</f>
        <v xml:space="preserve"> - </v>
      </c>
      <c r="AA16" s="332">
        <f>IF(ISNUMBER(IF(D_I="SI",Datos!L16,Datos!L16+Datos!AF16)),IF(D_I="SI",Datos!L16,Datos!L16+Datos!AF16)," - ")</f>
        <v>0</v>
      </c>
      <c r="AB16" s="334">
        <f>IF(ISNUMBER(Datos!R16),Datos!R16," - ")</f>
        <v>1</v>
      </c>
      <c r="AC16" s="334">
        <f t="shared" si="6"/>
        <v>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f>IF(ISNUMBER(((NºAsuntos!I16/NºAsuntos!G16)*11)/factor_trimestre),((NºAsuntos!I16/NºAsuntos!G16)*11)/factor_trimestre," - ")</f>
        <v>0</v>
      </c>
      <c r="AN16" s="244">
        <f>IF(ISNUMBER('Resol  Asuntos'!D16/NºAsuntos!G16),'Resol  Asuntos'!D16/NºAsuntos!G16," - ")</f>
        <v>0</v>
      </c>
      <c r="AO16" s="245">
        <f>IF(ISNUMBER((NºAsuntos!C16+NºAsuntos!E16)/NºAsuntos!G16),(NºAsuntos!C16+NºAsuntos!E16)/NºAsuntos!G16," - ")</f>
        <v>0.6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147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255</v>
      </c>
      <c r="X17" s="226">
        <f>IF(ISNUMBER(Datos!Q17),Datos!Q17," - ")</f>
        <v>2</v>
      </c>
      <c r="Y17" s="334">
        <f t="shared" si="7"/>
        <v>257</v>
      </c>
      <c r="Z17" s="335" t="str">
        <f>IF(ISNUMBER(Datos!CC17),Datos!CC17," - ")</f>
        <v xml:space="preserve"> - </v>
      </c>
      <c r="AA17" s="332">
        <f>IF(ISNUMBER(Datos!L17),Datos!L17,"-")</f>
        <v>138</v>
      </c>
      <c r="AB17" s="334">
        <f>IF(ISNUMBER(Datos!R17),Datos!R17," - ")</f>
        <v>46</v>
      </c>
      <c r="AC17" s="334">
        <f t="shared" si="6"/>
        <v>184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68</v>
      </c>
      <c r="AJ17" s="231" t="str">
        <f>IF(ISNUMBER(Datos!BW17),Datos!BW17," - ")</f>
        <v xml:space="preserve"> - </v>
      </c>
      <c r="AK17" s="232" t="str">
        <f>IF(ISNUMBER(Datos!BX17),Datos!BX17," - ")</f>
        <v xml:space="preserve"> - </v>
      </c>
      <c r="AL17" s="243">
        <f>IF(ISNUMBER(NºAsuntos!G17/NºAsuntos!E17),NºAsuntos!G17/NºAsuntos!E17," - ")</f>
        <v>1.0365853658536586</v>
      </c>
      <c r="AM17" s="260">
        <f>IF(ISNUMBER(((NºAsuntos!I17/NºAsuntos!G17)*11)/factor_trimestre),((NºAsuntos!I17/NºAsuntos!G17)*11)/factor_trimestre," - ")</f>
        <v>1.6235294117647057</v>
      </c>
      <c r="AN17" s="244">
        <f>IF(ISNUMBER('Resol  Asuntos'!D17/NºAsuntos!G17),'Resol  Asuntos'!D17/NºAsuntos!G17," - ")</f>
        <v>0.26666666666666666</v>
      </c>
      <c r="AO17" s="245">
        <f>IF(ISNUMBER((NºAsuntos!C17+NºAsuntos!E17)/NºAsuntos!G17),(NºAsuntos!C17+NºAsuntos!E17)/NºAsuntos!G17," - ")</f>
        <v>1.5411764705882354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1714</v>
      </c>
      <c r="G18" s="866">
        <f>SUBTOTAL(9,G15:G17)</f>
        <v>1785</v>
      </c>
      <c r="H18" s="865">
        <f t="shared" ref="H18:O18" si="10">SUBTOTAL(9,H14:H17)</f>
        <v>0</v>
      </c>
      <c r="I18" s="867">
        <f t="shared" si="10"/>
        <v>0</v>
      </c>
      <c r="J18" s="867">
        <f t="shared" si="10"/>
        <v>0</v>
      </c>
      <c r="K18" s="867">
        <f t="shared" si="10"/>
        <v>0</v>
      </c>
      <c r="L18" s="867">
        <f t="shared" si="10"/>
        <v>112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2929</v>
      </c>
      <c r="X18" s="867">
        <f t="shared" si="11"/>
        <v>110</v>
      </c>
      <c r="Y18" s="868">
        <f t="shared" si="11"/>
        <v>2934</v>
      </c>
      <c r="Z18" s="868">
        <f t="shared" si="11"/>
        <v>0</v>
      </c>
      <c r="AA18" s="868">
        <f t="shared" si="11"/>
        <v>1812</v>
      </c>
      <c r="AB18" s="868">
        <f t="shared" si="11"/>
        <v>428</v>
      </c>
      <c r="AC18" s="868">
        <f t="shared" si="11"/>
        <v>2240</v>
      </c>
      <c r="AD18" s="868">
        <f t="shared" si="11"/>
        <v>0</v>
      </c>
      <c r="AE18" s="872">
        <f t="shared" si="11"/>
        <v>0</v>
      </c>
      <c r="AF18" s="865">
        <f t="shared" si="11"/>
        <v>0</v>
      </c>
      <c r="AG18" s="873">
        <f t="shared" si="11"/>
        <v>0</v>
      </c>
      <c r="AH18" s="870">
        <f t="shared" si="11"/>
        <v>0</v>
      </c>
      <c r="AI18" s="865">
        <f t="shared" si="11"/>
        <v>506</v>
      </c>
      <c r="AJ18" s="867">
        <f t="shared" si="11"/>
        <v>0</v>
      </c>
      <c r="AK18" s="870">
        <f t="shared" si="11"/>
        <v>0</v>
      </c>
      <c r="AL18" s="874">
        <f>IF(ISNUMBER(NºAsuntos!G18/NºAsuntos!E18),NºAsuntos!G18/NºAsuntos!E18," - ")</f>
        <v>1.0170138888888889</v>
      </c>
      <c r="AM18" s="874">
        <f>IF(ISNUMBER(((NºAsuntos!I18/NºAsuntos!G18)*11)/factor_trimestre),((NºAsuntos!I18/NºAsuntos!G18)*11)/factor_trimestre," - ")</f>
        <v>1.8559235233868216</v>
      </c>
      <c r="AN18" s="875">
        <f>IF(ISNUMBER('Resol  Asuntos'!D18/NºAsuntos!G18),'Resol  Asuntos'!D18/NºAsuntos!G18," - ")</f>
        <v>0.17275520655513826</v>
      </c>
      <c r="AO18" s="876">
        <f>IF(ISNUMBER((NºAsuntos!C18+NºAsuntos!E18)/NºAsuntos!G18),(NºAsuntos!C18+NºAsuntos!E18)/NºAsuntos!G18," - ")</f>
        <v>1.592693752133834</v>
      </c>
      <c r="AP18" s="877" t="str">
        <f t="shared" si="2"/>
        <v xml:space="preserve"> - </v>
      </c>
      <c r="AQ18" s="877">
        <f>IF(ISNUMBER((H18-W18+K18)/(F18)),(H18-W18+K18)/(F18)," - ")</f>
        <v>-1.7088681446907819</v>
      </c>
      <c r="AR18" s="878">
        <f>IF(ISNUMBER((Datos!P18-Datos!Q18)/(Datos!R18-Datos!P18+Datos!Q18)),(Datos!P18-Datos!Q18)/(Datos!R18-Datos!P18+Datos!Q18)," - ")</f>
        <v>4.6948356807511738E-3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1821</v>
      </c>
      <c r="G19" s="821">
        <f t="shared" si="13"/>
        <v>1892</v>
      </c>
      <c r="H19" s="820">
        <f t="shared" si="13"/>
        <v>0</v>
      </c>
      <c r="I19" s="822">
        <f t="shared" si="13"/>
        <v>0</v>
      </c>
      <c r="J19" s="822">
        <f t="shared" si="13"/>
        <v>0</v>
      </c>
      <c r="K19" s="881">
        <f t="shared" si="13"/>
        <v>0</v>
      </c>
      <c r="L19" s="822">
        <f t="shared" si="13"/>
        <v>866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2948</v>
      </c>
      <c r="X19" s="821">
        <f t="shared" si="14"/>
        <v>471</v>
      </c>
      <c r="Y19" s="828">
        <f t="shared" si="14"/>
        <v>3314</v>
      </c>
      <c r="Z19" s="828">
        <f t="shared" si="14"/>
        <v>0</v>
      </c>
      <c r="AA19" s="828">
        <f t="shared" si="14"/>
        <v>1924</v>
      </c>
      <c r="AB19" s="828">
        <f t="shared" si="14"/>
        <v>10789</v>
      </c>
      <c r="AC19" s="828">
        <f t="shared" si="14"/>
        <v>2434</v>
      </c>
      <c r="AD19" s="828">
        <f t="shared" si="14"/>
        <v>0</v>
      </c>
      <c r="AE19" s="830">
        <f t="shared" si="14"/>
        <v>0</v>
      </c>
      <c r="AF19" s="831">
        <f t="shared" si="14"/>
        <v>0</v>
      </c>
      <c r="AG19" s="832">
        <f t="shared" si="14"/>
        <v>0</v>
      </c>
      <c r="AH19" s="830">
        <f t="shared" si="14"/>
        <v>0</v>
      </c>
      <c r="AI19" s="820">
        <f t="shared" si="14"/>
        <v>1220</v>
      </c>
      <c r="AJ19" s="820">
        <f t="shared" si="14"/>
        <v>0</v>
      </c>
      <c r="AK19" s="830">
        <f t="shared" si="14"/>
        <v>0</v>
      </c>
      <c r="AL19" s="884">
        <f>IF(ISNUMBER(NºAsuntos!G19/NºAsuntos!E19),NºAsuntos!G19/NºAsuntos!E19," - ")</f>
        <v>1.0902118334550768</v>
      </c>
      <c r="AM19" s="885">
        <f>IF(ISNUMBER(((NºAsuntos!I19/NºAsuntos!G19)*11)/factor_trimestre),((NºAsuntos!I19/NºAsuntos!G19)*11)/factor_trimestre," - ")</f>
        <v>5.1095477386934673</v>
      </c>
      <c r="AN19" s="885">
        <f>IF(ISNUMBER('Resol  Asuntos'!D19/NºAsuntos!G19),'Resol  Asuntos'!D19/NºAsuntos!G19," - ")</f>
        <v>0.20435510887772193</v>
      </c>
      <c r="AO19" s="886">
        <f>IF(ISNUMBER((NºAsuntos!C19+NºAsuntos!E19)/NºAsuntos!G19),(NºAsuntos!C19+NºAsuntos!E19)/NºAsuntos!G19," - ")</f>
        <v>2.7061976549413735</v>
      </c>
      <c r="AP19" s="887" t="str">
        <f t="shared" si="2"/>
        <v xml:space="preserve"> - </v>
      </c>
      <c r="AQ19" s="888">
        <f>IF(OR(ISNUMBER(FIND("01",Criterios!A8,1)),ISNUMBER(FIND("02",Criterios!A8,1)),ISNUMBER(FIND("03",Criterios!A8,1)),ISNUMBER(FIND("04",Criterios!A8,1))),(I19-W19+K19)/(F19-K19),(H19-W19+K19)/(F19-K19))</f>
        <v>-1.6188907193849533</v>
      </c>
      <c r="AR19" s="889">
        <f>IF(ISNUMBER((Datos!P19-Datos!Q19)/(Datos!R19-Datos!P19+Datos!Q19)),(Datos!P19-Datos!Q19)/(Datos!R19-Datos!P19+Datos!Q19)," - ")</f>
        <v>3.8002693861843372E-2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630.66666666666663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2.5055493963954847</v>
      </c>
      <c r="F21" s="252">
        <f>IF(ISNUMBER(STDEV(F8:F18)),STDEV(F8:F18),"-")</f>
        <v>898.41070786138789</v>
      </c>
      <c r="G21" s="253">
        <f>IF(ISNUMBER(STDEV(G8:G18)),STDEV(G8:G18),"-")</f>
        <v>838.75185046989122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1412.4143395854726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316.74956308460116</v>
      </c>
      <c r="AJ21" s="252">
        <f t="shared" si="18"/>
        <v>0</v>
      </c>
      <c r="AK21" s="254">
        <f t="shared" si="18"/>
        <v>0</v>
      </c>
      <c r="AL21" s="249">
        <f t="shared" si="18"/>
        <v>0.14014501952052527</v>
      </c>
      <c r="AM21" s="250">
        <f t="shared" si="18"/>
        <v>6.2543138876663278</v>
      </c>
      <c r="AN21" s="250">
        <f t="shared" si="18"/>
        <v>0.22848969454957155</v>
      </c>
      <c r="AO21" s="251">
        <f t="shared" si="18"/>
        <v>2.1588628425926775</v>
      </c>
      <c r="AP21" s="291" t="str">
        <f t="shared" si="18"/>
        <v>-</v>
      </c>
      <c r="AQ21" s="292">
        <f t="shared" si="18"/>
        <v>1.0827912360444851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4uEWrIwBPNyyhmXyaV+InatDwFV+6FWJpieLXY9Ttm9QAHm9jbJMkK4CKnHz0/w/htZvZ0g8PqfRemM/ZubfFQ==" saltValue="Z1PbbQOfwjTmc5+kIZKR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TORREVIEJA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0.4613778705636743</v>
      </c>
      <c r="I9" s="350">
        <f>IF(ISNUMBER((Tasas!C9-Datos!BE9)/Datos!BE9),(Tasas!C9-Datos!BE9)/Datos!BE9," - ")</f>
        <v>-0.15240855209337253</v>
      </c>
      <c r="J9" s="349">
        <f>IF(ISNUMBER((Tasas!D9-Datos!BF9)/Datos!BF9),(Tasas!D9-Datos!BF9)/Datos!BF9," - ")</f>
        <v>-0.43007095254952055</v>
      </c>
      <c r="K9" s="351">
        <f>IF(ISNUMBER((Tasas!E9-Datos!BG9)/Datos!BG9),(Tasas!E9-Datos!BG9)/Datos!BG9," - ")</f>
        <v>-9.3635430724670551E-2</v>
      </c>
      <c r="M9" t="e">
        <f>IF(Monitorios="SI",Datos!CE9,0)</f>
        <v>#REF!</v>
      </c>
      <c r="N9" t="e">
        <f>IF(Monitorios="SI",Datos!CF9,0)</f>
        <v>#REF!</v>
      </c>
      <c r="O9" t="e">
        <f>IF(Monitorios="SI",Datos!CG9,0)</f>
        <v>#REF!</v>
      </c>
      <c r="P9" t="e">
        <f>IF(Monitorios="SI",Datos!CH9,0)</f>
        <v>#REF!</v>
      </c>
      <c r="Q9">
        <f>IF(J_V="SI",0,Datos!AG9)</f>
        <v>250</v>
      </c>
      <c r="R9">
        <f>IF(J_V="SI",0,Datos!AH9)</f>
        <v>114</v>
      </c>
      <c r="S9">
        <f>IF(J_V="SI",0,Datos!AI9)</f>
        <v>254</v>
      </c>
      <c r="T9">
        <f>IF(J_V="SI",0,Datos!AJ9)</f>
        <v>142</v>
      </c>
    </row>
    <row r="10" spans="2:20" ht="14.25">
      <c r="B10" s="275" t="s">
        <v>246</v>
      </c>
      <c r="C10" s="7" t="str">
        <f>Datos!A10</f>
        <v>Jdos. Violencia contra la mujer</v>
      </c>
      <c r="D10" s="352">
        <f>IF(ISNUMBER((Datos!I10-Datos!S10)/Datos!S10),(Datos!I10-Datos!S10)/Datos!S10," - ")</f>
        <v>0.44594594594594594</v>
      </c>
      <c r="E10" s="348">
        <f>IF(ISNUMBER((Datos!J10-Datos!T10)/Datos!T10),(Datos!J10-Datos!T10)/Datos!T10," - ")</f>
        <v>0.2</v>
      </c>
      <c r="F10" s="348">
        <f>IF(ISNUMBER((Datos!K10-Datos!U10)/Datos!U10),(Datos!K10-Datos!U10)/Datos!U10," - ")</f>
        <v>-0.13636363636363635</v>
      </c>
      <c r="G10" s="349">
        <f>IF(ISNUMBER((Datos!L10-Datos!V10)/Datos!V10),(Datos!L10-Datos!V10)/Datos!V10," - ")</f>
        <v>0.55555555555555558</v>
      </c>
      <c r="H10" s="230">
        <f>IF(ISNUMBER((Datos!M10-Datos!W10)/Datos!W10),(Datos!M10-Datos!W10)/Datos!W10," - ")</f>
        <v>1.8</v>
      </c>
      <c r="I10" s="350">
        <f>IF(ISNUMBER((Tasas!C10-Datos!BE10)/Datos!BE10),(Tasas!C10-Datos!BE10)/Datos!BE10," - ")</f>
        <v>0.80116959064327464</v>
      </c>
      <c r="J10" s="349">
        <f>IF(ISNUMBER((Tasas!D10-Datos!BF10)/Datos!BF10),(Tasas!D10-Datos!BF10)/Datos!BF10," - ")</f>
        <v>2.2421052631578946</v>
      </c>
      <c r="K10" s="351">
        <f>IF(ISNUMBER((Tasas!E10-Datos!BG10)/Datos!BG10),(Tasas!E10-Datos!BG10)/Datos!BG10," - ")</f>
        <v>0.61366181410974241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0.47520661157024796</v>
      </c>
      <c r="I13" s="357">
        <f>IF(ISNUMBER((Tasas!C13-Datos!BE13)/Datos!BE13),(Tasas!C13-Datos!BE13)/Datos!BE13," - ")</f>
        <v>-0.14637971408801123</v>
      </c>
      <c r="J13" s="355">
        <f>IF(ISNUMBER((Tasas!D13-Datos!BF13)/Datos!BF13),(Tasas!D13-Datos!BF13)/Datos!BF13," - ")</f>
        <v>-0.42019620738792068</v>
      </c>
      <c r="K13" s="358">
        <f>IF(ISNUMBER((Tasas!E13-Datos!BG13)/Datos!BG13),(Tasas!E13-Datos!BG13)/Datos!BG13," - ")</f>
        <v>-8.9138694529784901E-2</v>
      </c>
      <c r="M13" t="e">
        <f>IF(Monitorios="SI",Datos!CE13,0)</f>
        <v>#REF!</v>
      </c>
      <c r="N13" t="e">
        <f>IF(Monitorios="SI",Datos!CF13,0)</f>
        <v>#REF!</v>
      </c>
      <c r="O13" t="e">
        <f>IF(Monitorios="SI",Datos!CG13,0)</f>
        <v>#REF!</v>
      </c>
      <c r="P13" t="e">
        <f>IF(Monitorios="SI",Datos!CH13,0)</f>
        <v>#REF!</v>
      </c>
      <c r="Q13">
        <f>IF(J_V="SI",0,Datos!AG13)</f>
        <v>250</v>
      </c>
      <c r="R13">
        <f>IF(J_V="SI",0,Datos!AH13)</f>
        <v>114</v>
      </c>
      <c r="S13">
        <f>IF(J_V="SI",0,Datos!AI13)</f>
        <v>254</v>
      </c>
      <c r="T13">
        <f>IF(J_V="SI",0,Datos!AJ13)</f>
        <v>142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0.29761904761904762</v>
      </c>
      <c r="E15" s="348">
        <f>IF(ISNUMBER(
   IF(D_I="SI",(Datos!J15-Datos!T15)/Datos!T15,(Datos!J15+Datos!AD15-(Datos!T15+Datos!AL15))/(Datos!T15+Datos!AL15))
     ),IF(D_I="SI",(Datos!J15-Datos!T15)/Datos!T15,(Datos!J15+Datos!AD15-(Datos!T15+Datos!AL15))/(Datos!T15+Datos!AL15))," - ")</f>
        <v>0.16291390728476821</v>
      </c>
      <c r="F15" s="348">
        <f>IF(ISNUMBER(
   IF(D_I="SI",(Datos!K15-Datos!U15)/Datos!U15,(Datos!K15+Datos!AE15-(Datos!U15+Datos!AM15))/(Datos!U15+Datos!AM15))
     ),IF(D_I="SI",(Datos!K15-Datos!U15)/Datos!U15,(Datos!K15+Datos!AE15-(Datos!U15+Datos!AM15))/(Datos!U15+Datos!AM15))," - ")</f>
        <v>0.16448516579406633</v>
      </c>
      <c r="G15" s="349">
        <f>IF(ISNUMBER(
   IF(D_I="SI",(Datos!L15-Datos!V15)/Datos!V15,(Datos!L15+Datos!AF15-(Datos!V15+Datos!AN15))/(Datos!V15+Datos!AN15))
     ),IF(D_I="SI",(Datos!L15-Datos!V15)/Datos!V15,(Datos!L15+Datos!AF15-(Datos!V15+Datos!AN15))/(Datos!V15+Datos!AN15))," - ")</f>
        <v>0.29067077872012337</v>
      </c>
      <c r="H15" s="230">
        <f>IF(ISNUMBER((Datos!M15-Datos!W15)/Datos!W15),(Datos!M15-Datos!W15)/Datos!W15," - ")</f>
        <v>0.2032967032967033</v>
      </c>
      <c r="I15" s="350">
        <f>IF(ISNUMBER((Tasas!C15-Datos!BE15)/Datos!BE15),(Tasas!C15-Datos!BE15)/Datos!BE15," - ")</f>
        <v>0.1083617178068651</v>
      </c>
      <c r="J15" s="349">
        <f>IF(ISNUMBER((Tasas!D15-Datos!BF15)/Datos!BF15),(Tasas!D15-Datos!BF15)/Datos!BF15," - ")</f>
        <v>3.3329353299379416E-2</v>
      </c>
      <c r="K15" s="351">
        <f>IF(ISNUMBER((Tasas!E15-Datos!BG15)/Datos!BG15),(Tasas!E15-Datos!BG15)/Datos!BG15," - ")</f>
        <v>3.9999362260150155E-2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-0.72727272727272729</v>
      </c>
      <c r="E16" s="348" t="str">
        <f>IF(ISNUMBER(
   IF(D_I="SI",(Datos!J16-Datos!T16)/Datos!T16,(Datos!J16+Datos!AD16-(Datos!T16+Datos!AL16))/(Datos!T16+Datos!AL16))
     ),IF(D_I="SI",(Datos!J16-Datos!T16)/Datos!T16,(Datos!J16+Datos!AD16-(Datos!T16+Datos!AL16))/(Datos!T16+Datos!AL16))," - ")</f>
        <v xml:space="preserve"> - </v>
      </c>
      <c r="F16" s="348">
        <f>IF(ISNUMBER(
   IF(D_I="SI",(Datos!K16-Datos!U16)/Datos!U16,(Datos!K16+Datos!AE16-(Datos!U16+Datos!AM16))/(Datos!U16+Datos!AM16))
     ),IF(D_I="SI",(Datos!K16-Datos!U16)/Datos!U16,(Datos!K16+Datos!AE16-(Datos!U16+Datos!AM16))/(Datos!U16+Datos!AM16))," - ")</f>
        <v>0.25</v>
      </c>
      <c r="G16" s="349">
        <f>IF(ISNUMBER(
   IF(D_I="SI",(Datos!L16-Datos!V16)/Datos!V16,(Datos!L16+Datos!AF16-(Datos!V16+Datos!AN16))/(Datos!V16+Datos!AN16))
     ),IF(D_I="SI",(Datos!L16-Datos!V16)/Datos!V16,(Datos!L16+Datos!AF16-(Datos!V16+Datos!AN16))/(Datos!V16+Datos!AN16))," - ")</f>
        <v>-1</v>
      </c>
      <c r="H16" s="230" t="str">
        <f>IF(ISNUMBER((Datos!M16-Datos!W16)/Datos!W16),(Datos!M16-Datos!W16)/Datos!W16," - ")</f>
        <v xml:space="preserve"> - </v>
      </c>
      <c r="I16" s="350">
        <f>IF(ISNUMBER((Tasas!C16-Datos!BE16)/Datos!BE16),(Tasas!C16-Datos!BE16)/Datos!BE16," - ")</f>
        <v>-1</v>
      </c>
      <c r="J16" s="349" t="str">
        <f>IF(ISNUMBER((Tasas!D16-Datos!BF16)/Datos!BF16),(Tasas!D16-Datos!BF16)/Datos!BF16," - ")</f>
        <v xml:space="preserve"> - </v>
      </c>
      <c r="K16" s="351">
        <f>IF(ISNUMBER((Tasas!E16-Datos!BG16)/Datos!BG16),(Tasas!E16-Datos!BG16)/Datos!BG16," - ")</f>
        <v>-0.78181818181818175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0.33636363636363636</v>
      </c>
      <c r="E17" s="348">
        <f>IF(ISNUMBER(
   IF(D_I="SI",(Datos!J17-Datos!T17)/Datos!T17,(Datos!J17+Datos!AD17-(Datos!T17+Datos!AL17))/(Datos!T17+Datos!AL17))
     ),IF(D_I="SI",(Datos!J17-Datos!T17)/Datos!T17,(Datos!J17+Datos!AD17-(Datos!T17+Datos!AL17))/(Datos!T17+Datos!AL17))," - ")</f>
        <v>2.0746887966804978E-2</v>
      </c>
      <c r="F17" s="348">
        <f>IF(ISNUMBER(
   IF(D_I="SI",(Datos!K17-Datos!U17)/Datos!U17,(Datos!K17+Datos!AE17-(Datos!U17+Datos!AM17))/(Datos!U17+Datos!AM17))
     ),IF(D_I="SI",(Datos!K17-Datos!U17)/Datos!U17,(Datos!K17+Datos!AE17-(Datos!U17+Datos!AM17))/(Datos!U17+Datos!AM17))," - ")</f>
        <v>0.22009569377990432</v>
      </c>
      <c r="G17" s="349">
        <f>IF(ISNUMBER(
   IF(D_I="SI",(Datos!L17-Datos!V17)/Datos!V17,(Datos!L17+Datos!AF17-(Datos!V17+Datos!AN17))/(Datos!V17+Datos!AN17))
     ),IF(D_I="SI",(Datos!L17-Datos!V17)/Datos!V17,(Datos!L17+Datos!AF17-(Datos!V17+Datos!AN17))/(Datos!V17+Datos!AN17))," - ")</f>
        <v>-2.8169014084507043E-2</v>
      </c>
      <c r="H17" s="230">
        <f>IF(ISNUMBER((Datos!M17-Datos!W17)/Datos!W17),(Datos!M17-Datos!W17)/Datos!W17," - ")</f>
        <v>-0.15</v>
      </c>
      <c r="I17" s="350">
        <f>IF(ISNUMBER((Tasas!C17-Datos!BE17)/Datos!BE17),(Tasas!C17-Datos!BE17)/Datos!BE17," - ")</f>
        <v>-0.20347970173985092</v>
      </c>
      <c r="J17" s="349">
        <f>IF(ISNUMBER((Tasas!D17-Datos!BF17)/Datos!BF17),(Tasas!D17-Datos!BF17)/Datos!BF17," - ")</f>
        <v>-0.30333333333333334</v>
      </c>
      <c r="K17" s="351">
        <f>IF(ISNUMBER((Tasas!E17-Datos!BG17)/Datos!BG17),(Tasas!E17-Datos!BG17)/Datos!BG17," - ")</f>
        <v>-8.2319423495894037E-2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0.29254163649529324</v>
      </c>
      <c r="E18" s="354">
        <f>IF(ISNUMBER(
   IF(D_I="SI",(Datos!J18-Datos!T18)/Datos!T18,(Datos!J18+Datos!AD18-(Datos!T18+Datos!AL18))/(Datos!T18+Datos!AL18))
     ),IF(D_I="SI",(Datos!J18-Datos!T18)/Datos!T18,(Datos!J18+Datos!AD18-(Datos!T18+Datos!AL18))/(Datos!T18+Datos!AL18))," - ")</f>
        <v>0.14924181963288108</v>
      </c>
      <c r="F18" s="354">
        <f>IF(ISNUMBER(
   IF(D_I="SI",(Datos!K18-Datos!U18)/Datos!U18,(Datos!K18+Datos!AE18-(Datos!U18+Datos!AM18))/(Datos!U18+Datos!AM18))
     ),IF(D_I="SI",(Datos!K18-Datos!U18)/Datos!U18,(Datos!K18+Datos!AE18-(Datos!U18+Datos!AM18))/(Datos!U18+Datos!AM18))," - ")</f>
        <v>0.16926147704590819</v>
      </c>
      <c r="G18" s="355">
        <f>IF(ISNUMBER(
   IF(D_I="SI",(Datos!L18-Datos!V18)/Datos!V18,(Datos!L18+Datos!AF18-(Datos!V18+Datos!AN18))/(Datos!V18+Datos!AN18))
     ),IF(D_I="SI",(Datos!L18-Datos!V18)/Datos!V18,(Datos!L18+Datos!AF18-(Datos!V18+Datos!AN18))/(Datos!V18+Datos!AN18))," - ")</f>
        <v>0.25051759834368531</v>
      </c>
      <c r="H18" s="356">
        <f>IF(ISNUMBER((Datos!M18-Datos!W18)/Datos!W18),(Datos!M18-Datos!W18)/Datos!W18," - ")</f>
        <v>0.13963963963963963</v>
      </c>
      <c r="I18" s="357">
        <f>IF(ISNUMBER((Tasas!C18-Datos!BE18)/Datos!BE18),(Tasas!C18-Datos!BE18)/Datos!BE18," - ")</f>
        <v>6.9493541772254031E-2</v>
      </c>
      <c r="J18" s="355">
        <f>IF(ISNUMBER((Tasas!D18-Datos!BF18)/Datos!BF18),(Tasas!D18-Datos!BF18)/Datos!BF18," - ")</f>
        <v>-2.5333800854456381E-2</v>
      </c>
      <c r="K18" s="358">
        <f>IF(ISNUMBER((Tasas!E18-Datos!BG18)/Datos!BG18),(Tasas!E18-Datos!BG18)/Datos!BG18," - ")</f>
        <v>2.6420851323708364E-2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6.9069069069069067E-2</v>
      </c>
      <c r="E19" s="363">
        <f>IF(ISNUMBER(
   IF(J_V="SI",(Datos!J19-Datos!T19)/Datos!T19,(Datos!J19+Datos!Z19-(Datos!T19+Datos!AH19))/(Datos!T19+Datos!AH19))
     ),IF(J_V="SI",(Datos!J19-Datos!T19)/Datos!T19,(Datos!J19+Datos!Z19-(Datos!T19+Datos!AH19))/(Datos!T19+Datos!AH19))," - ")</f>
        <v>0.10380971578310824</v>
      </c>
      <c r="F19" s="363">
        <f>IF(ISNUMBER(
   IF(J_V="SI",(Datos!K19-Datos!U19)/Datos!U19,(Datos!K19+Datos!AA19-(Datos!U19+Datos!AI19))/(Datos!U19+Datos!AI19))
     ),IF(J_V="SI",(Datos!K19-Datos!U19)/Datos!U19,(Datos!K19+Datos!AA19-(Datos!U19+Datos!AI19))/(Datos!U19+Datos!AI19))," - ")</f>
        <v>0.154292343387471</v>
      </c>
      <c r="G19" s="364">
        <f>IF(ISNUMBER(
   IF(J_V="SI",(Datos!L19-Datos!V19)/Datos!V19,(Datos!L19+Datos!AB19-(Datos!V19+Datos!AJ19))/(Datos!V19+Datos!AJ19))
     ),IF(J_V="SI",(Datos!L19-Datos!V19)/Datos!V19,(Datos!L19+Datos!AB19-(Datos!V19+Datos!AJ19))/(Datos!V19+Datos!AJ19))," - ")</f>
        <v>1.3354594379111023E-2</v>
      </c>
      <c r="H19" s="365">
        <f>IF(ISNUMBER((Datos!M19-Datos!W19)/Datos!W19),(Datos!M19-Datos!W19)/Datos!W19," - ")</f>
        <v>0.31465517241379309</v>
      </c>
      <c r="I19" s="362">
        <f>IF(ISNUMBER((Tasas!C19-Datos!BE19)/Datos!BE19),(Tasas!C19-Datos!BE19)/Datos!BE19," - ")</f>
        <v>-0.12209883381427773</v>
      </c>
      <c r="J19" s="363">
        <f>IF(ISNUMBER((Tasas!D19-Datos!BF19)/Datos!BF19),(Tasas!D19-Datos!BF19)/Datos!BF19," - ")</f>
        <v>-0.30647990609214049</v>
      </c>
      <c r="K19" s="364">
        <f>IF(ISNUMBER((Tasas!E19-Datos!BG19)/Datos!BG19),(Tasas!E19-Datos!BG19)/Datos!BG19," - ")</f>
        <v>-6.3844942053589412E-2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0.48265816995358252</v>
      </c>
      <c r="E21" s="278">
        <f t="shared" si="1"/>
        <v>7.7991871449868411E-2</v>
      </c>
      <c r="F21" s="278">
        <f t="shared" si="1"/>
        <v>0.15502936017226127</v>
      </c>
      <c r="G21" s="279">
        <f t="shared" si="1"/>
        <v>0.6032709866748055</v>
      </c>
      <c r="H21" s="285">
        <f t="shared" si="1"/>
        <v>0.68288665690618799</v>
      </c>
      <c r="I21" s="277">
        <f t="shared" si="1"/>
        <v>0.53313409743245344</v>
      </c>
      <c r="J21" s="278">
        <f t="shared" si="1"/>
        <v>1.0278073898903624</v>
      </c>
      <c r="K21" s="279">
        <f t="shared" si="1"/>
        <v>0.40710049069213666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IvZ6mDxj0zaftFHWy+9rpaXAOSH3JGU+HOPMCJe9UfkhiMP8Ug9WkndsrSrJTiOh+g3P62URqE0zHcZrQEMog==" saltValue="g8OMBXqQfWLX1xHH0p5A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